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5.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6.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7.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8.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9.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0.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1.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2.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3.xml" ContentType="application/vnd.openxmlformats-officedocument.themeOverride+xml"/>
  <Override PartName="/xl/drawings/drawing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1.xml" ContentType="application/vnd.openxmlformats-officedocument.drawing+xml"/>
  <Override PartName="/xl/metadata.xml" ContentType="application/vnd.openxmlformats-officedocument.spreadsheetml.sheetMetadata+xml"/>
  <Override PartName="/xl/comments1.xml" ContentType="application/vnd.openxmlformats-officedocument.spreadsheetml.comments+xml"/>
  <Override PartName="/xl/threadedComments/threadedComment3.xml" ContentType="application/vnd.ms-excel.threadedcomments+xml"/>
  <Override PartName="/xl/threadedComments/threadedComment2.xml" ContentType="application/vnd.ms-excel.threadedcomments+xml"/>
  <Override PartName="/xl/comments8.xml" ContentType="application/vnd.openxmlformats-officedocument.spreadsheetml.comments+xml"/>
  <Override PartName="/xl/comments4.xml" ContentType="application/vnd.openxmlformats-officedocument.spreadsheetml.comments+xml"/>
  <Override PartName="/xl/comments9.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xl/comments3.xml" ContentType="application/vnd.openxmlformats-officedocument.spreadsheetml.comments+xml"/>
  <Override PartName="/xl/externalLinks/externalLink1.xml" ContentType="application/vnd.openxmlformats-officedocument.spreadsheetml.externalLink+xml"/>
  <Override PartName="/xl/comments2.xml" ContentType="application/vnd.openxmlformats-officedocument.spreadsheetml.comments+xml"/>
  <Override PartName="/xl/comments6.xml" ContentType="application/vnd.openxmlformats-officedocument.spreadsheetml.comments+xml"/>
  <Override PartName="/xl/threadedComments/threadedComment1.xml" ContentType="application/vnd.ms-excel.threadedcomments+xml"/>
  <Override PartName="/xl/comments5.xml" ContentType="application/vnd.openxmlformats-officedocument.spreadsheetml.comments+xml"/>
  <Override PartName="/xl/comments7.xml" ContentType="application/vnd.openxmlformats-officedocument.spreadsheetml.comment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ch1srjw\Documents\Buddiepack\Circularity indicators\The tool\It didnt work\fixed\"/>
    </mc:Choice>
  </mc:AlternateContent>
  <xr:revisionPtr revIDLastSave="0" documentId="13_ncr:1_{C120D8B1-17D7-497B-8035-29310F027C5D}" xr6:coauthVersionLast="47" xr6:coauthVersionMax="47" xr10:uidLastSave="{00000000-0000-0000-0000-000000000000}"/>
  <bookViews>
    <workbookView xWindow="-108" yWindow="-108" windowWidth="23256" windowHeight="12456" tabRatio="754" xr2:uid="{4E6DF9AA-8B3F-493D-9685-633DFB58F238}"/>
  </bookViews>
  <sheets>
    <sheet name="Front" sheetId="26" r:id="rId1"/>
    <sheet name="Sheet1" sheetId="1" state="hidden" r:id="rId2"/>
    <sheet name="Input - Life Cycle Information" sheetId="2" r:id="rId3"/>
    <sheet name="Input - Circular Flow" sheetId="28" r:id="rId4"/>
    <sheet name="Input - Value" sheetId="29" r:id="rId5"/>
    <sheet name="Input - Sustainable Development" sheetId="27" r:id="rId6"/>
    <sheet name="Output - Results" sheetId="30" r:id="rId7"/>
    <sheet name="CFR - PCI" sheetId="7" state="hidden" r:id="rId8"/>
    <sheet name="PCI Fr values" sheetId="31" state="hidden" r:id="rId9"/>
    <sheet name="Value - Overpackaging" sheetId="8" state="hidden" r:id="rId10"/>
    <sheet name="Value - Food waste" sheetId="10" state="hidden" r:id="rId11"/>
    <sheet name="Value - Material safety" sheetId="9" state="hidden" r:id="rId12"/>
    <sheet name="Sus Dev - Environmental" sheetId="11" state="hidden" r:id="rId13"/>
    <sheet name="Sus Dev - Social" sheetId="13" state="hidden" r:id="rId14"/>
    <sheet name="Sus Dev - Economic" sheetId="12" state="hidden" r:id="rId15"/>
    <sheet name="DGcalcul" sheetId="14" state="hidden" r:id="rId16"/>
    <sheet name="Single-use results" sheetId="25" state="hidden" r:id="rId17"/>
    <sheet name="DGhelper" sheetId="15" state="hidden" r:id="rId18"/>
    <sheet name="DGboard" sheetId="16" state="hidden" r:id="rId19"/>
    <sheet name="DGbase données" sheetId="17" state="hidden" r:id="rId20"/>
    <sheet name="DG CFF calcul" sheetId="18" state="hidden" r:id="rId21"/>
    <sheet name="DGbaseF2V" sheetId="19" state="hidden" r:id="rId22"/>
    <sheet name="DGbasecoll" sheetId="20" state="hidden" r:id="rId23"/>
    <sheet name="DGbasevalo" sheetId="21" state="hidden" r:id="rId24"/>
    <sheet name="DGliste" sheetId="22" state="hidden" r:id="rId25"/>
  </sheets>
  <externalReferences>
    <externalReference r:id="rId26"/>
  </externalReferences>
  <definedNames>
    <definedName name="_Toc1015179732" localSheetId="1">Sheet1!$B$3</definedName>
    <definedName name="_Toc1712648004" localSheetId="1">Sheet1!$B$2</definedName>
    <definedName name="_Toc301939432" localSheetId="1">Sheet1!$B$12</definedName>
    <definedName name="ListeFamilleProduit">[1]liste!$A$33:$E$33</definedName>
    <definedName name="Process">DGliste!$C$2:$C$10</definedName>
    <definedName name="separablecomponents">DGliste!$F$2:$F$3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F26" i="2" l="1"/>
  <c r="F27" i="2" s="1"/>
  <c r="I7" i="14" s="1"/>
  <c r="I14" i="14"/>
  <c r="K130" i="14" s="1"/>
  <c r="P18" i="25"/>
  <c r="CH3" i="25"/>
  <c r="CI3" i="25"/>
  <c r="CJ3" i="25"/>
  <c r="CG3" i="25"/>
  <c r="BY3" i="25"/>
  <c r="BZ3" i="25"/>
  <c r="CA3" i="25"/>
  <c r="BX3" i="25"/>
  <c r="BP3" i="25"/>
  <c r="BQ3" i="25"/>
  <c r="BR3" i="25"/>
  <c r="BO3" i="25"/>
  <c r="BG3" i="25"/>
  <c r="BH3" i="25"/>
  <c r="BI3" i="25"/>
  <c r="BF3" i="25"/>
  <c r="AX3" i="25"/>
  <c r="AY3" i="25"/>
  <c r="AZ3" i="25"/>
  <c r="AW3" i="25"/>
  <c r="AO3" i="25"/>
  <c r="AP3" i="25"/>
  <c r="AQ3" i="25"/>
  <c r="AN3" i="25"/>
  <c r="AF3" i="25"/>
  <c r="AG3" i="25"/>
  <c r="AH3" i="25"/>
  <c r="AE3" i="25"/>
  <c r="W3" i="25"/>
  <c r="X3" i="25"/>
  <c r="Y3" i="25"/>
  <c r="V3" i="25"/>
  <c r="N3" i="25"/>
  <c r="O3" i="25"/>
  <c r="P3" i="25"/>
  <c r="M3" i="25"/>
  <c r="G3" i="25"/>
  <c r="E3" i="25"/>
  <c r="F3" i="25"/>
  <c r="D3" i="25"/>
  <c r="G3" i="14" a="1"/>
  <c r="G3" i="14" s="1"/>
  <c r="G14" i="14"/>
  <c r="G9" i="14"/>
  <c r="I9" i="14"/>
  <c r="E9" i="14"/>
  <c r="E6" i="14"/>
  <c r="I6" i="14"/>
  <c r="G6" i="14"/>
  <c r="C27" i="2"/>
  <c r="E7" i="14" s="1"/>
  <c r="E27" i="2"/>
  <c r="G7" i="14" s="1"/>
  <c r="I148" i="14" l="1"/>
  <c r="I83" i="14"/>
  <c r="I70" i="14"/>
  <c r="I135" i="14"/>
  <c r="I122" i="14"/>
  <c r="I109" i="14"/>
  <c r="I57" i="14"/>
  <c r="I96" i="14"/>
  <c r="G148" i="14"/>
  <c r="G135" i="14"/>
  <c r="G122" i="14"/>
  <c r="G109" i="14"/>
  <c r="G96" i="14"/>
  <c r="G83" i="14"/>
  <c r="G70" i="14"/>
  <c r="G57" i="14"/>
  <c r="E83" i="14"/>
  <c r="E135" i="14"/>
  <c r="E57" i="14"/>
  <c r="E96" i="14"/>
  <c r="Y2" i="31"/>
  <c r="Y6" i="31" s="1"/>
  <c r="E148" i="14"/>
  <c r="E122" i="14"/>
  <c r="E109" i="14"/>
  <c r="E70" i="14"/>
  <c r="I49" i="14"/>
  <c r="K6" i="14"/>
  <c r="K65" i="14"/>
  <c r="K78" i="14"/>
  <c r="K91" i="14"/>
  <c r="K104" i="14"/>
  <c r="K52" i="14"/>
  <c r="K143" i="14"/>
  <c r="K117" i="14"/>
  <c r="K9" i="14"/>
  <c r="E3" i="14"/>
  <c r="K51" i="14" s="1"/>
  <c r="K96" i="14" l="1"/>
  <c r="M17" i="7"/>
  <c r="O17" i="7" s="1"/>
  <c r="AE13" i="25"/>
  <c r="AE23" i="25"/>
  <c r="AE26" i="25"/>
  <c r="I42" i="19"/>
  <c r="I43" i="19"/>
  <c r="I44" i="19"/>
  <c r="I45" i="19"/>
  <c r="J45" i="19" s="1"/>
  <c r="K45" i="19" s="1"/>
  <c r="L45" i="19" s="1"/>
  <c r="M45" i="19" s="1"/>
  <c r="N45" i="19" s="1"/>
  <c r="O45" i="19" s="1"/>
  <c r="I46" i="19"/>
  <c r="J46" i="19" s="1"/>
  <c r="K46" i="19" s="1"/>
  <c r="L46" i="19" s="1"/>
  <c r="M46" i="19" s="1"/>
  <c r="N46" i="19" s="1"/>
  <c r="O46" i="19" s="1"/>
  <c r="P46" i="19" s="1"/>
  <c r="Q46" i="19" s="1"/>
  <c r="R46" i="19" s="1"/>
  <c r="S46" i="19" s="1"/>
  <c r="I47" i="19"/>
  <c r="I48" i="19"/>
  <c r="I49" i="19"/>
  <c r="I50" i="19"/>
  <c r="I51" i="19"/>
  <c r="I52" i="19"/>
  <c r="I53" i="19"/>
  <c r="J53" i="19" s="1"/>
  <c r="K53" i="19" s="1"/>
  <c r="L53" i="19" s="1"/>
  <c r="M53" i="19" s="1"/>
  <c r="N53" i="19" s="1"/>
  <c r="O53" i="19" s="1"/>
  <c r="P53" i="19" s="1"/>
  <c r="Q53" i="19" s="1"/>
  <c r="R53" i="19" s="1"/>
  <c r="S53" i="19" s="1"/>
  <c r="I54" i="19"/>
  <c r="J54" i="19" s="1"/>
  <c r="K54" i="19" s="1"/>
  <c r="L54" i="19" s="1"/>
  <c r="M54" i="19" s="1"/>
  <c r="N54" i="19" s="1"/>
  <c r="O54" i="19" s="1"/>
  <c r="I55" i="19"/>
  <c r="J55" i="19" s="1"/>
  <c r="K55" i="19" s="1"/>
  <c r="L55" i="19" s="1"/>
  <c r="M55" i="19" s="1"/>
  <c r="N55" i="19" s="1"/>
  <c r="O55" i="19" s="1"/>
  <c r="I56" i="19"/>
  <c r="J56" i="19" s="1"/>
  <c r="K56" i="19" s="1"/>
  <c r="L56" i="19" s="1"/>
  <c r="M56" i="19" s="1"/>
  <c r="N56" i="19" s="1"/>
  <c r="O56" i="19" s="1"/>
  <c r="I41" i="19"/>
  <c r="J41" i="19" s="1"/>
  <c r="K41" i="19" s="1"/>
  <c r="L41" i="19" s="1"/>
  <c r="M41" i="19" s="1"/>
  <c r="N41" i="19" s="1"/>
  <c r="O41" i="19" s="1"/>
  <c r="AL109" i="18"/>
  <c r="I59" i="19"/>
  <c r="J52" i="19"/>
  <c r="K52" i="19" s="1"/>
  <c r="L52" i="19" s="1"/>
  <c r="M52" i="19" s="1"/>
  <c r="N52" i="19" s="1"/>
  <c r="O52" i="19" s="1"/>
  <c r="P52" i="19" s="1"/>
  <c r="Q52" i="19" s="1"/>
  <c r="R52" i="19" s="1"/>
  <c r="S52" i="19" s="1"/>
  <c r="J51" i="19"/>
  <c r="K51" i="19" s="1"/>
  <c r="L51" i="19" s="1"/>
  <c r="M51" i="19" s="1"/>
  <c r="N51" i="19" s="1"/>
  <c r="O51" i="19" s="1"/>
  <c r="P51" i="19" s="1"/>
  <c r="Q51" i="19" s="1"/>
  <c r="R51" i="19" s="1"/>
  <c r="S51" i="19" s="1"/>
  <c r="J50" i="19"/>
  <c r="K50" i="19" s="1"/>
  <c r="L50" i="19" s="1"/>
  <c r="M50" i="19" s="1"/>
  <c r="N50" i="19" s="1"/>
  <c r="O50" i="19" s="1"/>
  <c r="P50" i="19" s="1"/>
  <c r="Q50" i="19" s="1"/>
  <c r="R50" i="19" s="1"/>
  <c r="S50" i="19" s="1"/>
  <c r="J49" i="19"/>
  <c r="K49" i="19" s="1"/>
  <c r="L49" i="19" s="1"/>
  <c r="M49" i="19" s="1"/>
  <c r="N49" i="19" s="1"/>
  <c r="O49" i="19" s="1"/>
  <c r="P49" i="19" s="1"/>
  <c r="Q49" i="19" s="1"/>
  <c r="R49" i="19" s="1"/>
  <c r="S49" i="19" s="1"/>
  <c r="J48" i="19"/>
  <c r="K48" i="19" s="1"/>
  <c r="L48" i="19" s="1"/>
  <c r="M48" i="19" s="1"/>
  <c r="N48" i="19" s="1"/>
  <c r="O48" i="19" s="1"/>
  <c r="J47" i="19"/>
  <c r="K47" i="19" s="1"/>
  <c r="L47" i="19" s="1"/>
  <c r="M47" i="19" s="1"/>
  <c r="N47" i="19" s="1"/>
  <c r="O47" i="19" s="1"/>
  <c r="P47" i="19" s="1"/>
  <c r="Q47" i="19" s="1"/>
  <c r="R47" i="19" s="1"/>
  <c r="S47" i="19" s="1"/>
  <c r="J44" i="19"/>
  <c r="K44" i="19" s="1"/>
  <c r="L44" i="19" s="1"/>
  <c r="M44" i="19" s="1"/>
  <c r="N44" i="19" s="1"/>
  <c r="O44" i="19" s="1"/>
  <c r="J43" i="19"/>
  <c r="K43" i="19" s="1"/>
  <c r="L43" i="19" s="1"/>
  <c r="M43" i="19" s="1"/>
  <c r="N43" i="19" s="1"/>
  <c r="O43" i="19" s="1"/>
  <c r="P43" i="19" s="1"/>
  <c r="Q43" i="19" s="1"/>
  <c r="R43" i="19" s="1"/>
  <c r="S43" i="19" s="1"/>
  <c r="J42" i="19"/>
  <c r="K42" i="19" s="1"/>
  <c r="L42" i="19" s="1"/>
  <c r="M42" i="19" s="1"/>
  <c r="N42" i="19" s="1"/>
  <c r="O42" i="19" s="1"/>
  <c r="P42" i="19" s="1"/>
  <c r="Q42" i="19" s="1"/>
  <c r="R42" i="19" s="1"/>
  <c r="S42" i="19" s="1"/>
  <c r="CG104" i="25"/>
  <c r="BX104" i="25"/>
  <c r="BO104" i="25"/>
  <c r="BF104" i="25"/>
  <c r="AW104" i="25"/>
  <c r="AN104" i="25"/>
  <c r="M104" i="25"/>
  <c r="D104" i="25"/>
  <c r="BO102" i="25"/>
  <c r="BF102" i="25"/>
  <c r="CG101" i="25"/>
  <c r="BX101" i="25"/>
  <c r="BO101" i="25"/>
  <c r="BF101" i="25"/>
  <c r="AW101" i="25"/>
  <c r="AN101" i="25"/>
  <c r="AE101" i="25"/>
  <c r="V101" i="25"/>
  <c r="M101" i="25"/>
  <c r="D101" i="25"/>
  <c r="CG91" i="25"/>
  <c r="BX91" i="25"/>
  <c r="BO91" i="25"/>
  <c r="BF91" i="25"/>
  <c r="AW91" i="25"/>
  <c r="AN91" i="25"/>
  <c r="M91" i="25"/>
  <c r="D91" i="25"/>
  <c r="BO89" i="25"/>
  <c r="BF89" i="25"/>
  <c r="CG88" i="25"/>
  <c r="BX88" i="25"/>
  <c r="BO88" i="25"/>
  <c r="BF88" i="25"/>
  <c r="AW88" i="25"/>
  <c r="AN88" i="25"/>
  <c r="AE88" i="25"/>
  <c r="V88" i="25"/>
  <c r="M88" i="25"/>
  <c r="D88" i="25"/>
  <c r="CG78" i="25"/>
  <c r="BX78" i="25"/>
  <c r="BO78" i="25"/>
  <c r="BF78" i="25"/>
  <c r="AW78" i="25"/>
  <c r="AN78" i="25"/>
  <c r="M78" i="25"/>
  <c r="D78" i="25"/>
  <c r="BO76" i="25"/>
  <c r="BF76" i="25"/>
  <c r="CG75" i="25"/>
  <c r="BX75" i="25"/>
  <c r="BO75" i="25"/>
  <c r="BF75" i="25"/>
  <c r="AW75" i="25"/>
  <c r="AN75" i="25"/>
  <c r="AE75" i="25"/>
  <c r="V75" i="25"/>
  <c r="M75" i="25"/>
  <c r="D75" i="25"/>
  <c r="CG65" i="25"/>
  <c r="BX65" i="25"/>
  <c r="BO65" i="25"/>
  <c r="BF65" i="25"/>
  <c r="AW65" i="25"/>
  <c r="AN65" i="25"/>
  <c r="M65" i="25"/>
  <c r="D65" i="25"/>
  <c r="BO63" i="25"/>
  <c r="BF63" i="25"/>
  <c r="CG62" i="25"/>
  <c r="BX62" i="25"/>
  <c r="BO62" i="25"/>
  <c r="BF62" i="25"/>
  <c r="AW62" i="25"/>
  <c r="AN62" i="25"/>
  <c r="AE62" i="25"/>
  <c r="V62" i="25"/>
  <c r="M62" i="25"/>
  <c r="D62" i="25"/>
  <c r="CG52" i="25"/>
  <c r="BX52" i="25"/>
  <c r="BO52" i="25"/>
  <c r="BF52" i="25"/>
  <c r="AW52" i="25"/>
  <c r="AN52" i="25"/>
  <c r="M52" i="25"/>
  <c r="D52" i="25"/>
  <c r="BO50" i="25"/>
  <c r="BF50" i="25"/>
  <c r="CG49" i="25"/>
  <c r="BX49" i="25"/>
  <c r="BO49" i="25"/>
  <c r="BF49" i="25"/>
  <c r="AW49" i="25"/>
  <c r="AN49" i="25"/>
  <c r="AE49" i="25"/>
  <c r="V49" i="25"/>
  <c r="M49" i="25"/>
  <c r="D49" i="25"/>
  <c r="CG39" i="25"/>
  <c r="BX39" i="25"/>
  <c r="BO39" i="25"/>
  <c r="BF39" i="25"/>
  <c r="AW39" i="25"/>
  <c r="AN39" i="25"/>
  <c r="M39" i="25"/>
  <c r="D39" i="25"/>
  <c r="BO37" i="25"/>
  <c r="BF37" i="25"/>
  <c r="CG36" i="25"/>
  <c r="BX36" i="25"/>
  <c r="BO36" i="25"/>
  <c r="BF36" i="25"/>
  <c r="AW36" i="25"/>
  <c r="AN36" i="25"/>
  <c r="AE36" i="25"/>
  <c r="V36" i="25"/>
  <c r="M36" i="25"/>
  <c r="D36" i="25"/>
  <c r="CG26" i="25"/>
  <c r="BX26" i="25"/>
  <c r="BO26" i="25"/>
  <c r="BF26" i="25"/>
  <c r="AW26" i="25"/>
  <c r="AN26" i="25"/>
  <c r="M26" i="25"/>
  <c r="D26" i="25"/>
  <c r="BO24" i="25"/>
  <c r="BF24" i="25"/>
  <c r="CG23" i="25"/>
  <c r="BX23" i="25"/>
  <c r="BO23" i="25"/>
  <c r="BF23" i="25"/>
  <c r="AW23" i="25"/>
  <c r="AN23" i="25"/>
  <c r="M23" i="25"/>
  <c r="D23" i="25"/>
  <c r="CG13" i="25"/>
  <c r="BX13" i="25"/>
  <c r="BO13" i="25"/>
  <c r="BF13" i="25"/>
  <c r="AW13" i="25"/>
  <c r="AN13" i="25"/>
  <c r="M13" i="25"/>
  <c r="D13" i="25"/>
  <c r="V23" i="25"/>
  <c r="J16" i="11"/>
  <c r="CG10" i="25"/>
  <c r="BX10" i="25"/>
  <c r="BO10" i="25"/>
  <c r="BF10" i="25"/>
  <c r="AW10" i="25"/>
  <c r="AN10" i="25"/>
  <c r="M10" i="25"/>
  <c r="K59" i="19"/>
  <c r="L59" i="19"/>
  <c r="M59" i="19" s="1"/>
  <c r="N59" i="19" s="1"/>
  <c r="O59" i="19" s="1"/>
  <c r="P59" i="19" s="1"/>
  <c r="Q59" i="19" s="1"/>
  <c r="R59" i="19" s="1"/>
  <c r="S59" i="19" s="1"/>
  <c r="K60" i="19"/>
  <c r="L60" i="19"/>
  <c r="M60" i="19"/>
  <c r="N60" i="19"/>
  <c r="O60" i="19"/>
  <c r="P60" i="19"/>
  <c r="Q60" i="19"/>
  <c r="R60" i="19" s="1"/>
  <c r="S60" i="19" s="1"/>
  <c r="K61" i="19"/>
  <c r="L61" i="19"/>
  <c r="M61" i="19"/>
  <c r="N61" i="19" s="1"/>
  <c r="O61" i="19" s="1"/>
  <c r="P61" i="19" s="1"/>
  <c r="Q61" i="19" s="1"/>
  <c r="R61" i="19" s="1"/>
  <c r="S61" i="19" s="1"/>
  <c r="K62" i="19"/>
  <c r="L62" i="19"/>
  <c r="M62" i="19"/>
  <c r="N62" i="19"/>
  <c r="O62" i="19"/>
  <c r="P62" i="19" s="1"/>
  <c r="Q62" i="19" s="1"/>
  <c r="R62" i="19" s="1"/>
  <c r="S62" i="19" s="1"/>
  <c r="K63" i="19"/>
  <c r="L63" i="19" s="1"/>
  <c r="M63" i="19" s="1"/>
  <c r="N63" i="19" s="1"/>
  <c r="O63" i="19" s="1"/>
  <c r="P63" i="19" s="1"/>
  <c r="Q63" i="19" s="1"/>
  <c r="R63" i="19" s="1"/>
  <c r="S63" i="19" s="1"/>
  <c r="K64" i="19"/>
  <c r="L64" i="19"/>
  <c r="M64" i="19"/>
  <c r="N64" i="19" s="1"/>
  <c r="O64" i="19" s="1"/>
  <c r="P64" i="19" s="1"/>
  <c r="Q64" i="19" s="1"/>
  <c r="R64" i="19" s="1"/>
  <c r="S64" i="19" s="1"/>
  <c r="K65" i="19"/>
  <c r="L65" i="19"/>
  <c r="M65" i="19"/>
  <c r="N65" i="19"/>
  <c r="O65" i="19"/>
  <c r="P65" i="19"/>
  <c r="Q65" i="19"/>
  <c r="R65" i="19"/>
  <c r="S65" i="19"/>
  <c r="K66" i="19"/>
  <c r="L66" i="19" s="1"/>
  <c r="M66" i="19" s="1"/>
  <c r="N66" i="19" s="1"/>
  <c r="O66" i="19" s="1"/>
  <c r="P66" i="19" s="1"/>
  <c r="Q66" i="19" s="1"/>
  <c r="R66" i="19" s="1"/>
  <c r="S66" i="19" s="1"/>
  <c r="K67" i="19"/>
  <c r="L67" i="19"/>
  <c r="M67" i="19"/>
  <c r="N67" i="19"/>
  <c r="O67" i="19"/>
  <c r="P67" i="19"/>
  <c r="Q67" i="19"/>
  <c r="R67" i="19"/>
  <c r="S67" i="19" s="1"/>
  <c r="K68" i="19"/>
  <c r="L68" i="19"/>
  <c r="M68" i="19"/>
  <c r="N68" i="19"/>
  <c r="O68" i="19" s="1"/>
  <c r="P68" i="19" s="1"/>
  <c r="Q68" i="19" s="1"/>
  <c r="R68" i="19" s="1"/>
  <c r="S68" i="19" s="1"/>
  <c r="K69" i="19"/>
  <c r="L69" i="19"/>
  <c r="M69" i="19"/>
  <c r="N69" i="19"/>
  <c r="O69" i="19"/>
  <c r="P69" i="19"/>
  <c r="Q69" i="19" s="1"/>
  <c r="R69" i="19" s="1"/>
  <c r="S69" i="19" s="1"/>
  <c r="K70" i="19"/>
  <c r="L70" i="19"/>
  <c r="M70" i="19" s="1"/>
  <c r="N70" i="19" s="1"/>
  <c r="O70" i="19" s="1"/>
  <c r="P70" i="19" s="1"/>
  <c r="Q70" i="19" s="1"/>
  <c r="R70" i="19" s="1"/>
  <c r="S70" i="19" s="1"/>
  <c r="K71" i="19"/>
  <c r="L71" i="19"/>
  <c r="M71" i="19"/>
  <c r="N71" i="19"/>
  <c r="O71" i="19" s="1"/>
  <c r="P71" i="19" s="1"/>
  <c r="Q71" i="19" s="1"/>
  <c r="R71" i="19" s="1"/>
  <c r="S71" i="19" s="1"/>
  <c r="K72" i="19"/>
  <c r="L72" i="19"/>
  <c r="M72" i="19"/>
  <c r="N72" i="19"/>
  <c r="O72" i="19"/>
  <c r="P72" i="19"/>
  <c r="Q72" i="19"/>
  <c r="R72" i="19"/>
  <c r="S72" i="19"/>
  <c r="K73" i="19"/>
  <c r="L73" i="19"/>
  <c r="M73" i="19" s="1"/>
  <c r="N73" i="19" s="1"/>
  <c r="O73" i="19" s="1"/>
  <c r="P73" i="19" s="1"/>
  <c r="Q73" i="19" s="1"/>
  <c r="R73" i="19" s="1"/>
  <c r="S73" i="19" s="1"/>
  <c r="K74" i="19"/>
  <c r="L74" i="19"/>
  <c r="M74" i="19"/>
  <c r="N74" i="19"/>
  <c r="O74" i="19"/>
  <c r="P74" i="19"/>
  <c r="Q74" i="19"/>
  <c r="R74" i="19"/>
  <c r="S74" i="19"/>
  <c r="J60" i="19"/>
  <c r="J61" i="19"/>
  <c r="J62" i="19"/>
  <c r="J63" i="19"/>
  <c r="J64" i="19"/>
  <c r="J65" i="19"/>
  <c r="J66" i="19"/>
  <c r="J67" i="19"/>
  <c r="J68" i="19"/>
  <c r="J69" i="19"/>
  <c r="J70" i="19"/>
  <c r="J71" i="19"/>
  <c r="J72" i="19"/>
  <c r="J73" i="19"/>
  <c r="J74" i="19"/>
  <c r="J59" i="19"/>
  <c r="I60" i="19"/>
  <c r="I61" i="19"/>
  <c r="I62" i="19"/>
  <c r="I63" i="19"/>
  <c r="I64" i="19"/>
  <c r="I65" i="19"/>
  <c r="I66" i="19"/>
  <c r="I67" i="19"/>
  <c r="I68" i="19"/>
  <c r="I69" i="19"/>
  <c r="I70" i="19"/>
  <c r="I71" i="19"/>
  <c r="I72" i="19"/>
  <c r="I73" i="19"/>
  <c r="I74" i="19"/>
  <c r="D10" i="25"/>
  <c r="L110" i="18"/>
  <c r="M110" i="18"/>
  <c r="N110" i="18"/>
  <c r="O110" i="18"/>
  <c r="R110" i="18"/>
  <c r="U110" i="18"/>
  <c r="V110" i="18"/>
  <c r="W110" i="18"/>
  <c r="X110" i="18"/>
  <c r="Z110" i="18"/>
  <c r="AC110" i="18"/>
  <c r="AD110" i="18"/>
  <c r="AE110" i="18"/>
  <c r="AF110" i="18"/>
  <c r="AG110" i="18"/>
  <c r="AI110" i="18"/>
  <c r="AJ110" i="18"/>
  <c r="L111" i="18"/>
  <c r="M111" i="18"/>
  <c r="N111" i="18"/>
  <c r="O111" i="18"/>
  <c r="R111" i="18"/>
  <c r="U111" i="18"/>
  <c r="V111" i="18"/>
  <c r="W111" i="18"/>
  <c r="X111" i="18"/>
  <c r="Z111" i="18"/>
  <c r="AC111" i="18"/>
  <c r="AD111" i="18"/>
  <c r="AE111" i="18"/>
  <c r="AF111" i="18"/>
  <c r="AG111" i="18"/>
  <c r="AI111" i="18"/>
  <c r="AJ111" i="18"/>
  <c r="L112" i="18"/>
  <c r="M112" i="18"/>
  <c r="N112" i="18"/>
  <c r="O112" i="18"/>
  <c r="R112" i="18"/>
  <c r="U112" i="18"/>
  <c r="V112" i="18"/>
  <c r="W112" i="18"/>
  <c r="X112" i="18"/>
  <c r="Z112" i="18"/>
  <c r="AC112" i="18"/>
  <c r="AD112" i="18"/>
  <c r="AE112" i="18"/>
  <c r="AF112" i="18"/>
  <c r="AG112" i="18"/>
  <c r="AI112" i="18"/>
  <c r="AJ112" i="18"/>
  <c r="L113" i="18"/>
  <c r="M113" i="18"/>
  <c r="N113" i="18"/>
  <c r="O113" i="18"/>
  <c r="R113" i="18"/>
  <c r="U113" i="18"/>
  <c r="V113" i="18"/>
  <c r="W113" i="18"/>
  <c r="X113" i="18"/>
  <c r="Z113" i="18"/>
  <c r="AC113" i="18"/>
  <c r="AD113" i="18"/>
  <c r="AE113" i="18"/>
  <c r="AF113" i="18"/>
  <c r="AG113" i="18"/>
  <c r="AI113" i="18"/>
  <c r="AJ113" i="18"/>
  <c r="L114" i="18"/>
  <c r="M114" i="18"/>
  <c r="N114" i="18"/>
  <c r="O114" i="18"/>
  <c r="R114" i="18"/>
  <c r="U114" i="18"/>
  <c r="V114" i="18"/>
  <c r="W114" i="18"/>
  <c r="X114" i="18"/>
  <c r="Z114" i="18"/>
  <c r="AC114" i="18"/>
  <c r="AD114" i="18"/>
  <c r="AE114" i="18"/>
  <c r="AF114" i="18"/>
  <c r="AG114" i="18"/>
  <c r="AI114" i="18"/>
  <c r="AJ114" i="18"/>
  <c r="L115" i="18"/>
  <c r="M115" i="18"/>
  <c r="N115" i="18"/>
  <c r="O115" i="18"/>
  <c r="R115" i="18"/>
  <c r="U115" i="18"/>
  <c r="V115" i="18"/>
  <c r="W115" i="18"/>
  <c r="X115" i="18"/>
  <c r="Z115" i="18"/>
  <c r="AC115" i="18"/>
  <c r="AD115" i="18"/>
  <c r="AE115" i="18"/>
  <c r="AF115" i="18"/>
  <c r="AG115" i="18"/>
  <c r="AI115" i="18"/>
  <c r="AJ115" i="18"/>
  <c r="L116" i="18"/>
  <c r="M116" i="18"/>
  <c r="N116" i="18"/>
  <c r="O116" i="18"/>
  <c r="R116" i="18"/>
  <c r="U116" i="18"/>
  <c r="V116" i="18"/>
  <c r="W116" i="18"/>
  <c r="X116" i="18"/>
  <c r="Z116" i="18"/>
  <c r="AC116" i="18"/>
  <c r="AD116" i="18"/>
  <c r="AE116" i="18"/>
  <c r="AF116" i="18"/>
  <c r="AG116" i="18"/>
  <c r="AI116" i="18"/>
  <c r="AJ116" i="18"/>
  <c r="L117" i="18"/>
  <c r="M117" i="18"/>
  <c r="N117" i="18"/>
  <c r="O117" i="18"/>
  <c r="R117" i="18"/>
  <c r="U117" i="18"/>
  <c r="V117" i="18"/>
  <c r="W117" i="18"/>
  <c r="X117" i="18"/>
  <c r="Z117" i="18"/>
  <c r="AC117" i="18"/>
  <c r="AD117" i="18"/>
  <c r="AE117" i="18"/>
  <c r="AF117" i="18"/>
  <c r="AG117" i="18"/>
  <c r="AI117" i="18"/>
  <c r="AJ117" i="18"/>
  <c r="L118" i="18"/>
  <c r="M118" i="18"/>
  <c r="N118" i="18"/>
  <c r="O118" i="18"/>
  <c r="R118" i="18"/>
  <c r="U118" i="18"/>
  <c r="V118" i="18"/>
  <c r="W118" i="18"/>
  <c r="X118" i="18"/>
  <c r="Z118" i="18"/>
  <c r="AC118" i="18"/>
  <c r="AD118" i="18"/>
  <c r="AE118" i="18"/>
  <c r="AF118" i="18"/>
  <c r="AG118" i="18"/>
  <c r="AI118" i="18"/>
  <c r="AJ118" i="18"/>
  <c r="L119" i="18"/>
  <c r="M119" i="18"/>
  <c r="N119" i="18"/>
  <c r="O119" i="18"/>
  <c r="R119" i="18"/>
  <c r="U119" i="18"/>
  <c r="V119" i="18"/>
  <c r="W119" i="18"/>
  <c r="X119" i="18"/>
  <c r="Z119" i="18"/>
  <c r="AC119" i="18"/>
  <c r="AD119" i="18"/>
  <c r="AE119" i="18"/>
  <c r="AF119" i="18"/>
  <c r="AG119" i="18"/>
  <c r="AI119" i="18"/>
  <c r="AJ119" i="18"/>
  <c r="L120" i="18"/>
  <c r="M120" i="18"/>
  <c r="N120" i="18"/>
  <c r="O120" i="18"/>
  <c r="R120" i="18"/>
  <c r="U120" i="18"/>
  <c r="V120" i="18"/>
  <c r="W120" i="18"/>
  <c r="X120" i="18"/>
  <c r="Z120" i="18"/>
  <c r="AC120" i="18"/>
  <c r="AD120" i="18"/>
  <c r="AE120" i="18"/>
  <c r="AF120" i="18"/>
  <c r="AG120" i="18"/>
  <c r="AI120" i="18"/>
  <c r="AJ120" i="18"/>
  <c r="L121" i="18"/>
  <c r="M121" i="18"/>
  <c r="N121" i="18"/>
  <c r="O121" i="18"/>
  <c r="R121" i="18"/>
  <c r="U121" i="18"/>
  <c r="V121" i="18"/>
  <c r="W121" i="18"/>
  <c r="X121" i="18"/>
  <c r="Z121" i="18"/>
  <c r="AC121" i="18"/>
  <c r="AD121" i="18"/>
  <c r="AE121" i="18"/>
  <c r="AF121" i="18"/>
  <c r="AG121" i="18"/>
  <c r="AI121" i="18"/>
  <c r="AJ121" i="18"/>
  <c r="L122" i="18"/>
  <c r="M122" i="18"/>
  <c r="N122" i="18"/>
  <c r="O122" i="18"/>
  <c r="R122" i="18"/>
  <c r="U122" i="18"/>
  <c r="V122" i="18"/>
  <c r="W122" i="18"/>
  <c r="X122" i="18"/>
  <c r="Z122" i="18"/>
  <c r="AC122" i="18"/>
  <c r="AD122" i="18"/>
  <c r="AE122" i="18"/>
  <c r="AF122" i="18"/>
  <c r="AG122" i="18"/>
  <c r="AI122" i="18"/>
  <c r="AJ122" i="18"/>
  <c r="L123" i="18"/>
  <c r="M123" i="18"/>
  <c r="N123" i="18"/>
  <c r="O123" i="18"/>
  <c r="R123" i="18"/>
  <c r="U123" i="18"/>
  <c r="V123" i="18"/>
  <c r="W123" i="18"/>
  <c r="X123" i="18"/>
  <c r="Z123" i="18"/>
  <c r="AC123" i="18"/>
  <c r="AD123" i="18"/>
  <c r="AE123" i="18"/>
  <c r="AF123" i="18"/>
  <c r="AG123" i="18"/>
  <c r="AI123" i="18"/>
  <c r="AJ123" i="18"/>
  <c r="L124" i="18"/>
  <c r="M124" i="18"/>
  <c r="N124" i="18"/>
  <c r="O124" i="18"/>
  <c r="R124" i="18"/>
  <c r="U124" i="18"/>
  <c r="V124" i="18"/>
  <c r="W124" i="18"/>
  <c r="X124" i="18"/>
  <c r="Z124" i="18"/>
  <c r="AC124" i="18"/>
  <c r="AD124" i="18"/>
  <c r="AE124" i="18"/>
  <c r="AF124" i="18"/>
  <c r="AG124" i="18"/>
  <c r="AI124" i="18"/>
  <c r="AJ124" i="18"/>
  <c r="I110" i="18"/>
  <c r="I111" i="18"/>
  <c r="I112" i="18"/>
  <c r="I113" i="18"/>
  <c r="I114" i="18"/>
  <c r="I115" i="18"/>
  <c r="I116" i="18"/>
  <c r="I117" i="18"/>
  <c r="I118" i="18"/>
  <c r="I119" i="18"/>
  <c r="I120" i="18"/>
  <c r="I121" i="18"/>
  <c r="I122" i="18"/>
  <c r="I123" i="18"/>
  <c r="I124" i="18"/>
  <c r="I109" i="18"/>
  <c r="H110" i="18"/>
  <c r="H111" i="18"/>
  <c r="H112" i="18"/>
  <c r="H113" i="18"/>
  <c r="H114" i="18"/>
  <c r="H115" i="18"/>
  <c r="H116" i="18"/>
  <c r="H117" i="18"/>
  <c r="H118" i="18"/>
  <c r="H119" i="18"/>
  <c r="H120" i="18"/>
  <c r="H121" i="18"/>
  <c r="H122" i="18"/>
  <c r="H123" i="18"/>
  <c r="H124" i="18"/>
  <c r="H109" i="18"/>
  <c r="H81" i="18"/>
  <c r="G110" i="18"/>
  <c r="G111" i="18"/>
  <c r="G112" i="18"/>
  <c r="G113" i="18"/>
  <c r="G114" i="18"/>
  <c r="G115" i="18"/>
  <c r="G116" i="18"/>
  <c r="G117" i="18"/>
  <c r="G118" i="18"/>
  <c r="G119" i="18"/>
  <c r="G120" i="18"/>
  <c r="G121" i="18"/>
  <c r="G122" i="18"/>
  <c r="G123" i="18"/>
  <c r="G124" i="18"/>
  <c r="G109" i="18"/>
  <c r="L109" i="18"/>
  <c r="M109" i="18"/>
  <c r="N109" i="18"/>
  <c r="O109" i="18"/>
  <c r="R109" i="18"/>
  <c r="U109" i="18"/>
  <c r="V109" i="18"/>
  <c r="W109" i="18"/>
  <c r="X109" i="18"/>
  <c r="Z109" i="18"/>
  <c r="AC109" i="18"/>
  <c r="AD109" i="18"/>
  <c r="AE109" i="18"/>
  <c r="AF109" i="18"/>
  <c r="AG109" i="18"/>
  <c r="AI109" i="18"/>
  <c r="AJ109" i="18"/>
  <c r="T3" i="17"/>
  <c r="T4" i="17"/>
  <c r="T5" i="17"/>
  <c r="T6" i="17"/>
  <c r="T7" i="17"/>
  <c r="T8" i="17"/>
  <c r="T9" i="17"/>
  <c r="T10" i="17"/>
  <c r="T11" i="17"/>
  <c r="T12" i="17"/>
  <c r="T13" i="17"/>
  <c r="T14" i="17"/>
  <c r="T15" i="17"/>
  <c r="T16" i="17"/>
  <c r="T17" i="17"/>
  <c r="T2" i="17"/>
  <c r="F124" i="18"/>
  <c r="F123" i="18"/>
  <c r="F122" i="18"/>
  <c r="F121" i="18"/>
  <c r="F120" i="18"/>
  <c r="F119" i="18"/>
  <c r="F118" i="18"/>
  <c r="F117" i="18"/>
  <c r="F116" i="18"/>
  <c r="F115" i="18"/>
  <c r="F114" i="18"/>
  <c r="F113" i="18"/>
  <c r="F112" i="18"/>
  <c r="F111" i="18"/>
  <c r="F110" i="18"/>
  <c r="F109" i="18"/>
  <c r="C41" i="18"/>
  <c r="B124" i="18"/>
  <c r="C124" i="18" s="1"/>
  <c r="B123" i="18"/>
  <c r="C123" i="18" s="1"/>
  <c r="C122" i="18"/>
  <c r="B122" i="18"/>
  <c r="C121" i="18"/>
  <c r="B121" i="18"/>
  <c r="B120" i="18"/>
  <c r="C120" i="18" s="1"/>
  <c r="C119" i="18"/>
  <c r="B119" i="18"/>
  <c r="B118" i="18"/>
  <c r="C118" i="18" s="1"/>
  <c r="B117" i="18"/>
  <c r="C117" i="18" s="1"/>
  <c r="B116" i="18"/>
  <c r="C116" i="18" s="1"/>
  <c r="B115" i="18"/>
  <c r="C115" i="18" s="1"/>
  <c r="C114" i="18"/>
  <c r="B114" i="18"/>
  <c r="C113" i="18"/>
  <c r="B113" i="18"/>
  <c r="B112" i="18"/>
  <c r="C112" i="18" s="1"/>
  <c r="C111" i="18"/>
  <c r="B111" i="18"/>
  <c r="C110" i="18"/>
  <c r="B110" i="18"/>
  <c r="C109" i="18"/>
  <c r="B109" i="18"/>
  <c r="C20" i="21"/>
  <c r="B5" i="30"/>
  <c r="F29" i="30" s="1"/>
  <c r="C44" i="30"/>
  <c r="C42" i="30"/>
  <c r="C40" i="30"/>
  <c r="C38" i="30"/>
  <c r="C36" i="30"/>
  <c r="C34" i="30"/>
  <c r="C32" i="30"/>
  <c r="C30" i="30"/>
  <c r="G34" i="30" s="1"/>
  <c r="C17" i="30"/>
  <c r="C21" i="30"/>
  <c r="C19" i="30"/>
  <c r="E14" i="14"/>
  <c r="V10" i="25" l="1"/>
  <c r="AE10" i="25"/>
  <c r="V26" i="25"/>
  <c r="P44" i="19"/>
  <c r="Q44" i="19" s="1"/>
  <c r="R44" i="19" s="1"/>
  <c r="S44" i="19" s="1"/>
  <c r="V91" i="25"/>
  <c r="P55" i="19"/>
  <c r="Q55" i="19" s="1"/>
  <c r="R55" i="19" s="1"/>
  <c r="S55" i="19" s="1"/>
  <c r="AE91" i="25"/>
  <c r="AE39" i="25"/>
  <c r="P45" i="19"/>
  <c r="Q45" i="19" s="1"/>
  <c r="R45" i="19" s="1"/>
  <c r="S45" i="19" s="1"/>
  <c r="V39" i="25"/>
  <c r="AE52" i="25"/>
  <c r="V52" i="25"/>
  <c r="P48" i="19"/>
  <c r="Q48" i="19" s="1"/>
  <c r="R48" i="19" s="1"/>
  <c r="S48" i="19" s="1"/>
  <c r="AE78" i="25"/>
  <c r="V78" i="25"/>
  <c r="P54" i="19"/>
  <c r="Q54" i="19" s="1"/>
  <c r="R54" i="19" s="1"/>
  <c r="S54" i="19" s="1"/>
  <c r="P41" i="19"/>
  <c r="Q41" i="19" s="1"/>
  <c r="R41" i="19" s="1"/>
  <c r="S41" i="19" s="1"/>
  <c r="V13" i="25"/>
  <c r="V65" i="25"/>
  <c r="AE65" i="25"/>
  <c r="P56" i="19"/>
  <c r="Q56" i="19" s="1"/>
  <c r="R56" i="19" s="1"/>
  <c r="S56" i="19" s="1"/>
  <c r="AE104" i="25"/>
  <c r="V104" i="25"/>
  <c r="J40" i="9"/>
  <c r="J41" i="9" s="1"/>
  <c r="Q45" i="9"/>
  <c r="R45" i="9" s="1"/>
  <c r="Q44" i="9"/>
  <c r="R44" i="9" s="1"/>
  <c r="Q41" i="9"/>
  <c r="R41" i="9" s="1"/>
  <c r="Q42" i="9"/>
  <c r="R42" i="9" s="1"/>
  <c r="Q43" i="9"/>
  <c r="R43" i="9" s="1"/>
  <c r="Q40" i="9"/>
  <c r="R40" i="9" s="1"/>
  <c r="K15" i="9"/>
  <c r="K14" i="9"/>
  <c r="J21" i="10"/>
  <c r="J20" i="10"/>
  <c r="M12" i="7"/>
  <c r="O12" i="7" s="1"/>
  <c r="M11" i="7"/>
  <c r="O11" i="7" s="1"/>
  <c r="M2" i="7"/>
  <c r="O2" i="7" s="1"/>
  <c r="Z6" i="31"/>
  <c r="M18" i="7"/>
  <c r="O18" i="7" s="1"/>
  <c r="M15" i="7"/>
  <c r="O15" i="7" s="1"/>
  <c r="O16" i="7" s="1"/>
  <c r="M13" i="7"/>
  <c r="O13" i="7" s="1"/>
  <c r="J17" i="12"/>
  <c r="J16" i="12"/>
  <c r="J15" i="12"/>
  <c r="J20" i="12" s="1"/>
  <c r="I18" i="12"/>
  <c r="J18" i="12" s="1"/>
  <c r="J23" i="12" s="1"/>
  <c r="C18" i="30" s="1"/>
  <c r="A18" i="30" s="1"/>
  <c r="J21" i="12" l="1"/>
  <c r="J25" i="12" s="1"/>
  <c r="O3" i="7"/>
  <c r="J48" i="7" s="1"/>
  <c r="AA6" i="31"/>
  <c r="O19" i="7"/>
  <c r="O14" i="7"/>
  <c r="J57" i="7" s="1"/>
  <c r="O20" i="7" l="1"/>
  <c r="J58" i="7" s="1"/>
  <c r="G37" i="30" l="1"/>
  <c r="B18" i="30"/>
  <c r="T16" i="11"/>
  <c r="T28" i="11"/>
  <c r="BY96" i="25"/>
  <c r="BY83" i="25"/>
  <c r="BY70" i="25"/>
  <c r="BY57" i="25"/>
  <c r="BY44" i="25"/>
  <c r="BY31" i="25"/>
  <c r="BY18" i="25"/>
  <c r="BY5" i="25"/>
  <c r="K8" i="8" l="1"/>
  <c r="M4" i="7"/>
  <c r="O4" i="7" s="1"/>
  <c r="C78" i="17"/>
  <c r="S7" i="18"/>
  <c r="J40" i="11"/>
  <c r="J53" i="11"/>
  <c r="J66" i="11"/>
  <c r="J79" i="11"/>
  <c r="J92" i="11"/>
  <c r="J105" i="11"/>
  <c r="J118" i="11"/>
  <c r="L42" i="11"/>
  <c r="L55" i="11"/>
  <c r="L68" i="11"/>
  <c r="L81" i="11"/>
  <c r="L94" i="11"/>
  <c r="L107" i="11"/>
  <c r="L120" i="11"/>
  <c r="L29" i="11"/>
  <c r="J22" i="11"/>
  <c r="J27" i="11"/>
  <c r="CY11" i="25"/>
  <c r="CY10" i="25"/>
  <c r="CY9" i="25"/>
  <c r="CY8" i="25"/>
  <c r="CY7" i="25"/>
  <c r="CY6" i="25"/>
  <c r="CY5" i="25"/>
  <c r="CY4" i="25"/>
  <c r="CY3" i="25"/>
  <c r="CY2" i="25"/>
  <c r="CX11" i="25"/>
  <c r="CX10" i="25"/>
  <c r="CX9" i="25"/>
  <c r="CX8" i="25"/>
  <c r="CX7" i="25"/>
  <c r="CX6" i="25"/>
  <c r="CX5" i="25"/>
  <c r="CX4" i="25"/>
  <c r="CX3" i="25"/>
  <c r="CX2" i="25"/>
  <c r="CR1" i="25"/>
  <c r="P20" i="13"/>
  <c r="O20" i="13"/>
  <c r="K17" i="13"/>
  <c r="K18" i="13"/>
  <c r="K19" i="13"/>
  <c r="K16" i="13"/>
  <c r="J17" i="13"/>
  <c r="J18" i="13"/>
  <c r="J19" i="13"/>
  <c r="J16" i="13"/>
  <c r="I17" i="13"/>
  <c r="I18" i="13"/>
  <c r="I19" i="13"/>
  <c r="I16" i="13"/>
  <c r="CJ97" i="25"/>
  <c r="CJ96" i="25"/>
  <c r="CJ84" i="25"/>
  <c r="CJ83" i="25"/>
  <c r="CJ71" i="25"/>
  <c r="CJ70" i="25"/>
  <c r="CJ58" i="25"/>
  <c r="CJ57" i="25"/>
  <c r="CJ45" i="25"/>
  <c r="CJ44" i="25"/>
  <c r="CJ32" i="25"/>
  <c r="CJ31" i="25"/>
  <c r="CJ19" i="25"/>
  <c r="CJ18" i="25"/>
  <c r="CJ6" i="25"/>
  <c r="CJ5" i="25"/>
  <c r="CA97" i="25"/>
  <c r="CA96" i="25"/>
  <c r="CA84" i="25"/>
  <c r="CA83" i="25"/>
  <c r="CA71" i="25"/>
  <c r="CA70" i="25"/>
  <c r="CA58" i="25"/>
  <c r="CA57" i="25"/>
  <c r="CA45" i="25"/>
  <c r="CA44" i="25"/>
  <c r="CA32" i="25"/>
  <c r="CA31" i="25"/>
  <c r="CA19" i="25"/>
  <c r="CA18" i="25"/>
  <c r="CA6" i="25"/>
  <c r="CA5" i="25"/>
  <c r="BR97" i="25"/>
  <c r="BR96" i="25"/>
  <c r="BR84" i="25"/>
  <c r="BR83" i="25"/>
  <c r="BR71" i="25"/>
  <c r="BR70" i="25"/>
  <c r="BR58" i="25"/>
  <c r="BR57" i="25"/>
  <c r="BR45" i="25"/>
  <c r="BR44" i="25"/>
  <c r="BR32" i="25"/>
  <c r="BR31" i="25"/>
  <c r="BR19" i="25"/>
  <c r="BR18" i="25"/>
  <c r="BR6" i="25"/>
  <c r="BR5" i="25"/>
  <c r="BI97" i="25"/>
  <c r="BI96" i="25"/>
  <c r="BI84" i="25"/>
  <c r="BI83" i="25"/>
  <c r="BI71" i="25"/>
  <c r="BI70" i="25"/>
  <c r="BI58" i="25"/>
  <c r="BI57" i="25"/>
  <c r="BI45" i="25"/>
  <c r="BI44" i="25"/>
  <c r="BI32" i="25"/>
  <c r="BI31" i="25"/>
  <c r="BI19" i="25"/>
  <c r="BI18" i="25"/>
  <c r="BI6" i="25"/>
  <c r="BI5" i="25"/>
  <c r="AZ97" i="25"/>
  <c r="AZ96" i="25"/>
  <c r="AZ84" i="25"/>
  <c r="AZ83" i="25"/>
  <c r="AZ71" i="25"/>
  <c r="AZ70" i="25"/>
  <c r="AZ58" i="25"/>
  <c r="AZ57" i="25"/>
  <c r="AZ45" i="25"/>
  <c r="AZ44" i="25"/>
  <c r="AZ32" i="25"/>
  <c r="AZ31" i="25"/>
  <c r="AZ19" i="25"/>
  <c r="AZ18" i="25"/>
  <c r="AZ6" i="25"/>
  <c r="AZ5" i="25"/>
  <c r="AQ97" i="25"/>
  <c r="AQ96" i="25"/>
  <c r="AQ84" i="25"/>
  <c r="AQ83" i="25"/>
  <c r="AQ71" i="25"/>
  <c r="AQ70" i="25"/>
  <c r="AQ58" i="25"/>
  <c r="AQ57" i="25"/>
  <c r="AQ45" i="25"/>
  <c r="AQ44" i="25"/>
  <c r="AQ32" i="25"/>
  <c r="AQ31" i="25"/>
  <c r="AQ19" i="25"/>
  <c r="AQ18" i="25"/>
  <c r="AQ6" i="25"/>
  <c r="AQ5" i="25"/>
  <c r="AH104" i="25"/>
  <c r="AH101" i="25"/>
  <c r="AH97" i="25"/>
  <c r="AH96" i="25"/>
  <c r="AH91" i="25"/>
  <c r="AH88" i="25"/>
  <c r="AH84" i="25"/>
  <c r="AH83" i="25"/>
  <c r="AH78" i="25"/>
  <c r="AH75" i="25"/>
  <c r="AH71" i="25"/>
  <c r="AH70" i="25"/>
  <c r="AH65" i="25"/>
  <c r="AH62" i="25"/>
  <c r="AH58" i="25"/>
  <c r="AH57" i="25"/>
  <c r="AH52" i="25"/>
  <c r="AH49" i="25"/>
  <c r="AH45" i="25"/>
  <c r="AH44" i="25"/>
  <c r="AH39" i="25"/>
  <c r="AH36" i="25"/>
  <c r="AH32" i="25"/>
  <c r="AH31" i="25"/>
  <c r="AH26" i="25"/>
  <c r="AH23" i="25"/>
  <c r="AH19" i="25"/>
  <c r="AH18" i="25"/>
  <c r="AH13" i="25"/>
  <c r="AH10" i="25"/>
  <c r="AH6" i="25"/>
  <c r="AH5" i="25"/>
  <c r="B2" i="25"/>
  <c r="Y10" i="25"/>
  <c r="Y104" i="25"/>
  <c r="Y101" i="25"/>
  <c r="Y97" i="25"/>
  <c r="Y96" i="25"/>
  <c r="Y91" i="25"/>
  <c r="Y88" i="25"/>
  <c r="Y84" i="25"/>
  <c r="Y83" i="25"/>
  <c r="Y78" i="25"/>
  <c r="Y75" i="25"/>
  <c r="Y71" i="25"/>
  <c r="Y70" i="25"/>
  <c r="Y65" i="25"/>
  <c r="Y62" i="25"/>
  <c r="Y58" i="25"/>
  <c r="Y57" i="25"/>
  <c r="Y52" i="25"/>
  <c r="Y49" i="25"/>
  <c r="Y45" i="25"/>
  <c r="Y44" i="25"/>
  <c r="Y39" i="25"/>
  <c r="Y36" i="25"/>
  <c r="Y32" i="25"/>
  <c r="Y31" i="25"/>
  <c r="Y26" i="25"/>
  <c r="Y23" i="25"/>
  <c r="Y19" i="25"/>
  <c r="Y18" i="25"/>
  <c r="Y13" i="25"/>
  <c r="Y6" i="25"/>
  <c r="Y5" i="25"/>
  <c r="P6" i="25"/>
  <c r="P5" i="25"/>
  <c r="P19" i="25"/>
  <c r="P32" i="25"/>
  <c r="P31" i="25"/>
  <c r="P45" i="25"/>
  <c r="P44" i="25"/>
  <c r="P58" i="25"/>
  <c r="P57" i="25"/>
  <c r="P71" i="25"/>
  <c r="P70" i="25"/>
  <c r="P84" i="25"/>
  <c r="P83" i="25"/>
  <c r="P97" i="25"/>
  <c r="P96" i="25"/>
  <c r="G97" i="25"/>
  <c r="G96" i="25"/>
  <c r="G84" i="25"/>
  <c r="G83" i="25"/>
  <c r="G71" i="25"/>
  <c r="G70" i="25"/>
  <c r="G58" i="25"/>
  <c r="G57" i="25"/>
  <c r="G45" i="25"/>
  <c r="G44" i="25"/>
  <c r="G32" i="25"/>
  <c r="G31" i="25"/>
  <c r="G19" i="25"/>
  <c r="G18" i="25"/>
  <c r="G6" i="25"/>
  <c r="G5" i="25"/>
  <c r="S105" i="18"/>
  <c r="AC104" i="18"/>
  <c r="AA104" i="18"/>
  <c r="S104" i="18"/>
  <c r="AC103" i="18"/>
  <c r="AA103" i="18"/>
  <c r="S103" i="18"/>
  <c r="AC102" i="18"/>
  <c r="AA102" i="18"/>
  <c r="S102" i="18"/>
  <c r="AC101" i="18"/>
  <c r="AA101" i="18"/>
  <c r="S101" i="18"/>
  <c r="AC100" i="18"/>
  <c r="AA100" i="18"/>
  <c r="S100" i="18"/>
  <c r="AC99" i="18"/>
  <c r="AA99" i="18"/>
  <c r="S99" i="18"/>
  <c r="AC98" i="18"/>
  <c r="AA98" i="18"/>
  <c r="S98" i="18"/>
  <c r="AC97" i="18"/>
  <c r="AA97" i="18"/>
  <c r="S97" i="18"/>
  <c r="AC96" i="18"/>
  <c r="AA96" i="18"/>
  <c r="S96" i="18"/>
  <c r="AC95" i="18"/>
  <c r="AA95" i="18"/>
  <c r="S95" i="18"/>
  <c r="AC94" i="18"/>
  <c r="AA94" i="18"/>
  <c r="S94" i="18"/>
  <c r="AC93" i="18"/>
  <c r="AA93" i="18"/>
  <c r="S93" i="18"/>
  <c r="AC92" i="18"/>
  <c r="AA92" i="18"/>
  <c r="S92" i="18"/>
  <c r="AC90" i="18"/>
  <c r="AA90" i="18"/>
  <c r="S90" i="18"/>
  <c r="AC89" i="18"/>
  <c r="AA89" i="18"/>
  <c r="S89" i="18"/>
  <c r="AC88" i="18"/>
  <c r="AA88" i="18"/>
  <c r="S88" i="18"/>
  <c r="AC87" i="18"/>
  <c r="AA87" i="18"/>
  <c r="S87" i="18"/>
  <c r="AC86" i="18"/>
  <c r="AA86" i="18"/>
  <c r="S86" i="18"/>
  <c r="AC85" i="18"/>
  <c r="AA85" i="18"/>
  <c r="S85" i="18"/>
  <c r="AC84" i="18"/>
  <c r="AA84" i="18"/>
  <c r="S84" i="18"/>
  <c r="AC83" i="18"/>
  <c r="AA83" i="18"/>
  <c r="S83" i="18"/>
  <c r="AC82" i="18"/>
  <c r="AA82" i="18"/>
  <c r="S82" i="18"/>
  <c r="AC81" i="18"/>
  <c r="AA81" i="18"/>
  <c r="S81" i="18"/>
  <c r="AC80" i="18"/>
  <c r="AA80" i="18"/>
  <c r="S80" i="18"/>
  <c r="AC79" i="18"/>
  <c r="AA79" i="18"/>
  <c r="S79" i="18"/>
  <c r="AC78" i="18"/>
  <c r="AA78" i="18"/>
  <c r="S78" i="18"/>
  <c r="AC77" i="18"/>
  <c r="AA77" i="18"/>
  <c r="S77" i="18"/>
  <c r="AC76" i="18"/>
  <c r="AA76" i="18"/>
  <c r="S76" i="18"/>
  <c r="AC75" i="18"/>
  <c r="AA75" i="18"/>
  <c r="S75" i="18"/>
  <c r="AC73" i="18"/>
  <c r="AA73" i="18"/>
  <c r="S73" i="18"/>
  <c r="AC72" i="18"/>
  <c r="AA72" i="18"/>
  <c r="S72" i="18"/>
  <c r="AC71" i="18"/>
  <c r="AA71" i="18"/>
  <c r="S71" i="18"/>
  <c r="AC70" i="18"/>
  <c r="AA70" i="18"/>
  <c r="S70" i="18"/>
  <c r="AC69" i="18"/>
  <c r="AA69" i="18"/>
  <c r="S69" i="18"/>
  <c r="AC68" i="18"/>
  <c r="AA68" i="18"/>
  <c r="S68" i="18"/>
  <c r="AC67" i="18"/>
  <c r="AA67" i="18"/>
  <c r="S67" i="18"/>
  <c r="AC66" i="18"/>
  <c r="AA66" i="18"/>
  <c r="S66" i="18"/>
  <c r="AC65" i="18"/>
  <c r="AA65" i="18"/>
  <c r="S65" i="18"/>
  <c r="AC64" i="18"/>
  <c r="AA64" i="18"/>
  <c r="S64" i="18"/>
  <c r="AC63" i="18"/>
  <c r="AA63" i="18"/>
  <c r="S63" i="18"/>
  <c r="AC62" i="18"/>
  <c r="AA62" i="18"/>
  <c r="S62" i="18"/>
  <c r="AC61" i="18"/>
  <c r="AA61" i="18"/>
  <c r="S61" i="18"/>
  <c r="AC60" i="18"/>
  <c r="AA60" i="18"/>
  <c r="S60" i="18"/>
  <c r="AC59" i="18"/>
  <c r="AA59" i="18"/>
  <c r="S59" i="18"/>
  <c r="AC58" i="18"/>
  <c r="AA58" i="18"/>
  <c r="S58" i="18"/>
  <c r="AC56" i="18"/>
  <c r="AA56" i="18"/>
  <c r="S56" i="18"/>
  <c r="AC55" i="18"/>
  <c r="AA55" i="18"/>
  <c r="S55" i="18"/>
  <c r="AC54" i="18"/>
  <c r="AA54" i="18"/>
  <c r="S54" i="18"/>
  <c r="AC53" i="18"/>
  <c r="AA53" i="18"/>
  <c r="S53" i="18"/>
  <c r="AC52" i="18"/>
  <c r="AA52" i="18"/>
  <c r="S52" i="18"/>
  <c r="AC51" i="18"/>
  <c r="AA51" i="18"/>
  <c r="S51" i="18"/>
  <c r="AC50" i="18"/>
  <c r="AA50" i="18"/>
  <c r="S50" i="18"/>
  <c r="AC49" i="18"/>
  <c r="AA49" i="18"/>
  <c r="S49" i="18"/>
  <c r="AC48" i="18"/>
  <c r="AA48" i="18"/>
  <c r="S48" i="18"/>
  <c r="AC47" i="18"/>
  <c r="AA47" i="18"/>
  <c r="S47" i="18"/>
  <c r="AC46" i="18"/>
  <c r="AA46" i="18"/>
  <c r="S46" i="18"/>
  <c r="AC45" i="18"/>
  <c r="AA45" i="18"/>
  <c r="S45" i="18"/>
  <c r="AC44" i="18"/>
  <c r="AA44" i="18"/>
  <c r="S44" i="18"/>
  <c r="AC43" i="18"/>
  <c r="AA43" i="18"/>
  <c r="S43" i="18"/>
  <c r="AC42" i="18"/>
  <c r="AA42" i="18"/>
  <c r="S42" i="18"/>
  <c r="AC41" i="18"/>
  <c r="AA41" i="18"/>
  <c r="S41" i="18"/>
  <c r="AC39" i="18"/>
  <c r="AA39" i="18"/>
  <c r="S39" i="18"/>
  <c r="AC38" i="18"/>
  <c r="AA38" i="18"/>
  <c r="S38" i="18"/>
  <c r="AC37" i="18"/>
  <c r="AA37" i="18"/>
  <c r="S37" i="18"/>
  <c r="AC36" i="18"/>
  <c r="AA36" i="18"/>
  <c r="S36" i="18"/>
  <c r="AC35" i="18"/>
  <c r="AA35" i="18"/>
  <c r="S35" i="18"/>
  <c r="AC34" i="18"/>
  <c r="AA34" i="18"/>
  <c r="S34" i="18"/>
  <c r="AC33" i="18"/>
  <c r="AA33" i="18"/>
  <c r="S33" i="18"/>
  <c r="AC32" i="18"/>
  <c r="AA32" i="18"/>
  <c r="S32" i="18"/>
  <c r="AC31" i="18"/>
  <c r="AA31" i="18"/>
  <c r="S31" i="18"/>
  <c r="AC30" i="18"/>
  <c r="AA30" i="18"/>
  <c r="S30" i="18"/>
  <c r="AC29" i="18"/>
  <c r="AA29" i="18"/>
  <c r="S29" i="18"/>
  <c r="AC28" i="18"/>
  <c r="AA28" i="18"/>
  <c r="S28" i="18"/>
  <c r="AC27" i="18"/>
  <c r="AA27" i="18"/>
  <c r="S27" i="18"/>
  <c r="AC26" i="18"/>
  <c r="AA26" i="18"/>
  <c r="S26" i="18"/>
  <c r="AC25" i="18"/>
  <c r="AA25" i="18"/>
  <c r="S25" i="18"/>
  <c r="AC24" i="18"/>
  <c r="AA24" i="18"/>
  <c r="S24" i="18"/>
  <c r="AC22" i="18"/>
  <c r="AA22" i="18"/>
  <c r="S22" i="18"/>
  <c r="AC21" i="18"/>
  <c r="AA21" i="18"/>
  <c r="S21" i="18"/>
  <c r="AC20" i="18"/>
  <c r="AA20" i="18"/>
  <c r="S20" i="18"/>
  <c r="AC19" i="18"/>
  <c r="AA19" i="18"/>
  <c r="S19" i="18"/>
  <c r="S121" i="18" s="1"/>
  <c r="AC18" i="18"/>
  <c r="AA18" i="18"/>
  <c r="S18" i="18"/>
  <c r="AC17" i="18"/>
  <c r="AA17" i="18"/>
  <c r="S17" i="18"/>
  <c r="AC16" i="18"/>
  <c r="AA16" i="18"/>
  <c r="S16" i="18"/>
  <c r="AC15" i="18"/>
  <c r="AA15" i="18"/>
  <c r="S15" i="18"/>
  <c r="AC14" i="18"/>
  <c r="AA14" i="18"/>
  <c r="S14" i="18"/>
  <c r="AC13" i="18"/>
  <c r="AA13" i="18"/>
  <c r="S13" i="18"/>
  <c r="AC12" i="18"/>
  <c r="AA12" i="18"/>
  <c r="S12" i="18"/>
  <c r="AC11" i="18"/>
  <c r="AA11" i="18"/>
  <c r="S11" i="18"/>
  <c r="AC10" i="18"/>
  <c r="AA10" i="18"/>
  <c r="S10" i="18"/>
  <c r="AC9" i="18"/>
  <c r="AA9" i="18"/>
  <c r="S9" i="18"/>
  <c r="S111" i="18" s="1"/>
  <c r="AC8" i="18"/>
  <c r="AA8" i="18"/>
  <c r="AA110" i="18" s="1"/>
  <c r="S8" i="18"/>
  <c r="AC7" i="18"/>
  <c r="AA7" i="18"/>
  <c r="AC107" i="18"/>
  <c r="AA107" i="18"/>
  <c r="S107" i="18"/>
  <c r="AC106" i="18"/>
  <c r="AA106" i="18"/>
  <c r="S106" i="18"/>
  <c r="AC105" i="18"/>
  <c r="AA105" i="18"/>
  <c r="S117" i="18" l="1"/>
  <c r="S115" i="18"/>
  <c r="AA120" i="18"/>
  <c r="S122" i="18"/>
  <c r="S124" i="18"/>
  <c r="CP2" i="25"/>
  <c r="CS2" i="25"/>
  <c r="CR2" i="25"/>
  <c r="CQ2" i="25"/>
  <c r="S116" i="18"/>
  <c r="S112" i="18"/>
  <c r="AA117" i="18"/>
  <c r="S110" i="18"/>
  <c r="AA112" i="18"/>
  <c r="S119" i="18"/>
  <c r="AA119" i="18"/>
  <c r="AA115" i="18"/>
  <c r="S120" i="18"/>
  <c r="AA113" i="18"/>
  <c r="AA114" i="18"/>
  <c r="S123" i="18"/>
  <c r="AA123" i="18"/>
  <c r="AA118" i="18"/>
  <c r="AA122" i="18"/>
  <c r="S114" i="18"/>
  <c r="AA121" i="18"/>
  <c r="AH7" i="18"/>
  <c r="AA109" i="18"/>
  <c r="AA111" i="18"/>
  <c r="AA116" i="18"/>
  <c r="S118" i="18"/>
  <c r="S113" i="18"/>
  <c r="Y7" i="18"/>
  <c r="S109" i="18"/>
  <c r="AA124" i="18"/>
  <c r="N14" i="13"/>
  <c r="J54" i="7"/>
  <c r="J55" i="7" s="1"/>
  <c r="J51" i="7"/>
  <c r="J46" i="7"/>
  <c r="J44" i="7"/>
  <c r="J53" i="7"/>
  <c r="J45" i="7"/>
  <c r="J50" i="7"/>
  <c r="J47" i="7"/>
  <c r="J43" i="7"/>
  <c r="N15" i="13"/>
  <c r="N17" i="13"/>
  <c r="N16" i="13"/>
  <c r="CN1" i="25"/>
  <c r="CN2" i="25"/>
  <c r="K7" i="8" s="1"/>
  <c r="CQ87" i="25" l="1"/>
  <c r="CQ63" i="25"/>
  <c r="CQ39" i="25"/>
  <c r="CQ19" i="25"/>
  <c r="CQ33" i="25"/>
  <c r="CQ52" i="25"/>
  <c r="CQ51" i="25"/>
  <c r="CQ23" i="25"/>
  <c r="CQ46" i="25"/>
  <c r="CQ86" i="25"/>
  <c r="CQ62" i="25"/>
  <c r="CQ38" i="25"/>
  <c r="CQ18" i="25"/>
  <c r="CQ34" i="25"/>
  <c r="CQ9" i="25"/>
  <c r="CQ100" i="25"/>
  <c r="CQ99" i="25"/>
  <c r="CQ31" i="25"/>
  <c r="CQ50" i="25"/>
  <c r="CQ97" i="25"/>
  <c r="CQ85" i="25"/>
  <c r="CQ61" i="25"/>
  <c r="CQ37" i="25"/>
  <c r="CQ13" i="25"/>
  <c r="CQ102" i="25"/>
  <c r="CQ101" i="25"/>
  <c r="CQ8" i="25"/>
  <c r="CQ75" i="25"/>
  <c r="CQ6" i="25"/>
  <c r="CQ25" i="25"/>
  <c r="CQ72" i="25"/>
  <c r="CQ71" i="25"/>
  <c r="CQ22" i="25"/>
  <c r="CQ45" i="25"/>
  <c r="CQ64" i="25"/>
  <c r="CQ104" i="25"/>
  <c r="CQ84" i="25"/>
  <c r="CQ60" i="25"/>
  <c r="CQ36" i="25"/>
  <c r="CQ12" i="25"/>
  <c r="CQ58" i="25"/>
  <c r="CQ57" i="25"/>
  <c r="CQ32" i="25"/>
  <c r="CQ74" i="25"/>
  <c r="CQ49" i="25"/>
  <c r="CQ48" i="25"/>
  <c r="CQ47" i="25"/>
  <c r="CQ90" i="25"/>
  <c r="CQ65" i="25"/>
  <c r="CQ20" i="25"/>
  <c r="CQ103" i="25"/>
  <c r="CQ83" i="25"/>
  <c r="CQ59" i="25"/>
  <c r="CQ35" i="25"/>
  <c r="CQ11" i="25"/>
  <c r="CQ78" i="25"/>
  <c r="CQ10" i="25"/>
  <c r="CQ77" i="25"/>
  <c r="CQ76" i="25"/>
  <c r="CQ7" i="25"/>
  <c r="CQ98" i="25"/>
  <c r="CQ26" i="25"/>
  <c r="CQ5" i="25"/>
  <c r="CQ73" i="25"/>
  <c r="CQ96" i="25"/>
  <c r="CQ24" i="25"/>
  <c r="CQ91" i="25"/>
  <c r="CQ70" i="25"/>
  <c r="CQ89" i="25"/>
  <c r="CQ21" i="25"/>
  <c r="CQ88" i="25"/>
  <c r="CQ44" i="25"/>
  <c r="CR99" i="25"/>
  <c r="CR75" i="25"/>
  <c r="CR51" i="25"/>
  <c r="CR31" i="25"/>
  <c r="CR7" i="25"/>
  <c r="CR22" i="25"/>
  <c r="CR65" i="25"/>
  <c r="CR63" i="25"/>
  <c r="CR35" i="25"/>
  <c r="CR102" i="25"/>
  <c r="CR10" i="25"/>
  <c r="CR33" i="25"/>
  <c r="CR8" i="25"/>
  <c r="CR98" i="25"/>
  <c r="CR74" i="25"/>
  <c r="CR50" i="25"/>
  <c r="CR26" i="25"/>
  <c r="CR6" i="25"/>
  <c r="CR46" i="25"/>
  <c r="CR21" i="25"/>
  <c r="CR38" i="25"/>
  <c r="CR85" i="25"/>
  <c r="CR60" i="25"/>
  <c r="CR97" i="25"/>
  <c r="CR73" i="25"/>
  <c r="CR49" i="25"/>
  <c r="CR25" i="25"/>
  <c r="CR5" i="25"/>
  <c r="CR89" i="25"/>
  <c r="CR20" i="25"/>
  <c r="CR87" i="25"/>
  <c r="CR18" i="25"/>
  <c r="CR13" i="25"/>
  <c r="CR36" i="25"/>
  <c r="CR83" i="25"/>
  <c r="CR34" i="25"/>
  <c r="CR9" i="25"/>
  <c r="CR76" i="25"/>
  <c r="CR96" i="25"/>
  <c r="CR72" i="25"/>
  <c r="CR48" i="25"/>
  <c r="CR24" i="25"/>
  <c r="CR70" i="25"/>
  <c r="CR45" i="25"/>
  <c r="CR44" i="25"/>
  <c r="CR19" i="25"/>
  <c r="CR62" i="25"/>
  <c r="CR61" i="25"/>
  <c r="CR104" i="25"/>
  <c r="CR12" i="25"/>
  <c r="CR11" i="25"/>
  <c r="CR78" i="25"/>
  <c r="CR77" i="25"/>
  <c r="CR32" i="25"/>
  <c r="CR91" i="25"/>
  <c r="CR71" i="25"/>
  <c r="CR47" i="25"/>
  <c r="CR23" i="25"/>
  <c r="CR90" i="25"/>
  <c r="CR88" i="25"/>
  <c r="CR64" i="25"/>
  <c r="CR39" i="25"/>
  <c r="CR86" i="25"/>
  <c r="CR37" i="25"/>
  <c r="CR84" i="25"/>
  <c r="CR103" i="25"/>
  <c r="CR59" i="25"/>
  <c r="CR58" i="25"/>
  <c r="CR101" i="25"/>
  <c r="CR57" i="25"/>
  <c r="CR100" i="25"/>
  <c r="CR52" i="25"/>
  <c r="CS86" i="25"/>
  <c r="L101" i="11" s="1"/>
  <c r="CS62" i="25"/>
  <c r="L77" i="11" s="1"/>
  <c r="CS38" i="25"/>
  <c r="L53" i="11" s="1"/>
  <c r="CS13" i="25"/>
  <c r="L28" i="11" s="1"/>
  <c r="CS33" i="25"/>
  <c r="L48" i="11" s="1"/>
  <c r="CS31" i="25"/>
  <c r="L46" i="11" s="1"/>
  <c r="CS21" i="25"/>
  <c r="L36" i="11" s="1"/>
  <c r="CS64" i="25"/>
  <c r="L79" i="11" s="1"/>
  <c r="CS39" i="25"/>
  <c r="L54" i="11" s="1"/>
  <c r="CS18" i="25"/>
  <c r="CS85" i="25"/>
  <c r="L100" i="11" s="1"/>
  <c r="CS12" i="25"/>
  <c r="L27" i="11" s="1"/>
  <c r="CS101" i="25"/>
  <c r="L116" i="11" s="1"/>
  <c r="CS32" i="25"/>
  <c r="L47" i="11" s="1"/>
  <c r="CS51" i="25"/>
  <c r="L66" i="11" s="1"/>
  <c r="CS5" i="25"/>
  <c r="L20" i="11" s="1"/>
  <c r="CS25" i="25"/>
  <c r="L40" i="11" s="1"/>
  <c r="CS47" i="25"/>
  <c r="L62" i="11" s="1"/>
  <c r="CS104" i="25"/>
  <c r="L119" i="11" s="1"/>
  <c r="CS84" i="25"/>
  <c r="L99" i="11" s="1"/>
  <c r="CS60" i="25"/>
  <c r="L75" i="11" s="1"/>
  <c r="CS36" i="25"/>
  <c r="L51" i="11" s="1"/>
  <c r="CS77" i="25"/>
  <c r="L92" i="11" s="1"/>
  <c r="CS52" i="25"/>
  <c r="L67" i="11" s="1"/>
  <c r="CS75" i="25"/>
  <c r="L90" i="11" s="1"/>
  <c r="CS26" i="25"/>
  <c r="L41" i="11" s="1"/>
  <c r="CS73" i="25"/>
  <c r="L88" i="11" s="1"/>
  <c r="CS71" i="25"/>
  <c r="L86" i="11" s="1"/>
  <c r="CS46" i="25"/>
  <c r="L61" i="11" s="1"/>
  <c r="CS65" i="25"/>
  <c r="L80" i="11" s="1"/>
  <c r="CS44" i="25"/>
  <c r="L59" i="11" s="1"/>
  <c r="CS19" i="25"/>
  <c r="L34" i="11" s="1"/>
  <c r="CS103" i="25"/>
  <c r="L118" i="11" s="1"/>
  <c r="CS83" i="25"/>
  <c r="L98" i="11" s="1"/>
  <c r="CS59" i="25"/>
  <c r="L74" i="11" s="1"/>
  <c r="CS10" i="25"/>
  <c r="L25" i="11" s="1"/>
  <c r="CS57" i="25"/>
  <c r="L72" i="11" s="1"/>
  <c r="CS7" i="25"/>
  <c r="L22" i="11" s="1"/>
  <c r="CS6" i="25"/>
  <c r="L21" i="11" s="1"/>
  <c r="CS49" i="25"/>
  <c r="L64" i="11" s="1"/>
  <c r="CS72" i="25"/>
  <c r="L87" i="11" s="1"/>
  <c r="CS23" i="25"/>
  <c r="L38" i="11" s="1"/>
  <c r="CS70" i="25"/>
  <c r="L85" i="11" s="1"/>
  <c r="CS45" i="25"/>
  <c r="L60" i="11" s="1"/>
  <c r="CS20" i="25"/>
  <c r="L35" i="11" s="1"/>
  <c r="CS78" i="25"/>
  <c r="CS58" i="25"/>
  <c r="L73" i="11" s="1"/>
  <c r="CS34" i="25"/>
  <c r="L49" i="11" s="1"/>
  <c r="CS99" i="25"/>
  <c r="L114" i="11" s="1"/>
  <c r="CS8" i="25"/>
  <c r="L23" i="11" s="1"/>
  <c r="CS98" i="25"/>
  <c r="L113" i="11" s="1"/>
  <c r="CS97" i="25"/>
  <c r="L112" i="11" s="1"/>
  <c r="CS96" i="25"/>
  <c r="L111" i="11" s="1"/>
  <c r="CS91" i="25"/>
  <c r="L106" i="11" s="1"/>
  <c r="CS90" i="25"/>
  <c r="L105" i="11" s="1"/>
  <c r="CS88" i="25"/>
  <c r="L103" i="11" s="1"/>
  <c r="CP98" i="25"/>
  <c r="CP26" i="25"/>
  <c r="CP6" i="25"/>
  <c r="CP20" i="25"/>
  <c r="CP39" i="25"/>
  <c r="CP18" i="25"/>
  <c r="CP103" i="25"/>
  <c r="CP34" i="25"/>
  <c r="CP77" i="25"/>
  <c r="CP75" i="25"/>
  <c r="CP97" i="25"/>
  <c r="CP73" i="25"/>
  <c r="CP49" i="25"/>
  <c r="CP25" i="25"/>
  <c r="CP5" i="25"/>
  <c r="CP38" i="25"/>
  <c r="CP84" i="25"/>
  <c r="CP96" i="25"/>
  <c r="CP72" i="25"/>
  <c r="CP65" i="25"/>
  <c r="CP88" i="25"/>
  <c r="CP62" i="25"/>
  <c r="CP13" i="25"/>
  <c r="CP36" i="25"/>
  <c r="CP83" i="25"/>
  <c r="CP78" i="25"/>
  <c r="CP33" i="25"/>
  <c r="CP8" i="25"/>
  <c r="CP51" i="25"/>
  <c r="CP91" i="25"/>
  <c r="CP71" i="25"/>
  <c r="CP47" i="25"/>
  <c r="CP23" i="25"/>
  <c r="CP21" i="25"/>
  <c r="CP44" i="25"/>
  <c r="CP19" i="25"/>
  <c r="CP86" i="25"/>
  <c r="CP85" i="25"/>
  <c r="CP60" i="25"/>
  <c r="CP58" i="25"/>
  <c r="CP101" i="25"/>
  <c r="CP7" i="25"/>
  <c r="CP90" i="25"/>
  <c r="CP70" i="25"/>
  <c r="CP46" i="25"/>
  <c r="CP45" i="25"/>
  <c r="CP64" i="25"/>
  <c r="CP104" i="25"/>
  <c r="CP12" i="25"/>
  <c r="CP59" i="25"/>
  <c r="CP10" i="25"/>
  <c r="CP57" i="25"/>
  <c r="CP52" i="25"/>
  <c r="CP32" i="25"/>
  <c r="CP99" i="25"/>
  <c r="CP31" i="25"/>
  <c r="C23" i="19"/>
  <c r="J52" i="7"/>
  <c r="N24" i="13"/>
  <c r="N20" i="13"/>
  <c r="N27" i="13" s="1"/>
  <c r="C20" i="30" s="1"/>
  <c r="A20" i="30" s="1"/>
  <c r="J49" i="7"/>
  <c r="N21" i="13"/>
  <c r="Q21" i="13" s="1"/>
  <c r="N26" i="13"/>
  <c r="CP17" i="25" l="1"/>
  <c r="CS17" i="25"/>
  <c r="L32" i="11" s="1"/>
  <c r="L33" i="11"/>
  <c r="CR4" i="25"/>
  <c r="CS4" i="25"/>
  <c r="AN11" i="25"/>
  <c r="CG11" i="25"/>
  <c r="D11" i="25"/>
  <c r="I38" i="30"/>
  <c r="B20" i="30"/>
  <c r="J56" i="7"/>
  <c r="J59" i="7" s="1"/>
  <c r="C8" i="30" s="1"/>
  <c r="Q20" i="13"/>
  <c r="N22" i="13" s="1"/>
  <c r="G30" i="30" l="1"/>
  <c r="F9" i="30" s="1"/>
  <c r="C9" i="30"/>
  <c r="C72" i="18"/>
  <c r="C99" i="18"/>
  <c r="C101" i="18"/>
  <c r="C39" i="18"/>
  <c r="C24" i="18"/>
  <c r="C12" i="18"/>
  <c r="C13" i="18"/>
  <c r="C14" i="18"/>
  <c r="C15" i="18"/>
  <c r="C16" i="18"/>
  <c r="C22" i="18"/>
  <c r="I43" i="17"/>
  <c r="B41" i="11"/>
  <c r="B32" i="11"/>
  <c r="E22" i="20"/>
  <c r="B4" i="20"/>
  <c r="D20" i="21"/>
  <c r="L10" i="21"/>
  <c r="K10" i="21"/>
  <c r="E19" i="20"/>
  <c r="R104" i="19"/>
  <c r="H56" i="19"/>
  <c r="G56" i="19"/>
  <c r="F56" i="19"/>
  <c r="E56" i="19"/>
  <c r="D56" i="19"/>
  <c r="C56" i="19"/>
  <c r="H55" i="19"/>
  <c r="G55" i="19"/>
  <c r="F55" i="19"/>
  <c r="E55" i="19"/>
  <c r="D55" i="19"/>
  <c r="C55" i="19"/>
  <c r="H54" i="19"/>
  <c r="G54" i="19"/>
  <c r="F54" i="19"/>
  <c r="E54" i="19"/>
  <c r="D54" i="19"/>
  <c r="C54" i="19"/>
  <c r="H53" i="19"/>
  <c r="G53" i="19"/>
  <c r="F53" i="19"/>
  <c r="E53" i="19"/>
  <c r="D53" i="19"/>
  <c r="C53" i="19"/>
  <c r="H52" i="19"/>
  <c r="G52" i="19"/>
  <c r="F52" i="19"/>
  <c r="E52" i="19"/>
  <c r="D52" i="19"/>
  <c r="C52" i="19"/>
  <c r="H51" i="19"/>
  <c r="G51" i="19"/>
  <c r="F51" i="19"/>
  <c r="E51" i="19"/>
  <c r="D51" i="19"/>
  <c r="C51" i="19"/>
  <c r="H50" i="19"/>
  <c r="G50" i="19"/>
  <c r="F50" i="19"/>
  <c r="E50" i="19"/>
  <c r="D50" i="19"/>
  <c r="C50" i="19"/>
  <c r="H49" i="19"/>
  <c r="G49" i="19"/>
  <c r="F49" i="19"/>
  <c r="E49" i="19"/>
  <c r="D49" i="19"/>
  <c r="C49" i="19"/>
  <c r="H48" i="19"/>
  <c r="G48" i="19"/>
  <c r="F48" i="19"/>
  <c r="E48" i="19"/>
  <c r="D48" i="19"/>
  <c r="C48" i="19"/>
  <c r="H47" i="19"/>
  <c r="G47" i="19"/>
  <c r="F47" i="19"/>
  <c r="E47" i="19"/>
  <c r="D47" i="19"/>
  <c r="C47" i="19"/>
  <c r="H46" i="19"/>
  <c r="G46" i="19"/>
  <c r="F46" i="19"/>
  <c r="E46" i="19"/>
  <c r="D46" i="19"/>
  <c r="C46" i="19"/>
  <c r="H45" i="19"/>
  <c r="G45" i="19"/>
  <c r="F45" i="19"/>
  <c r="E45" i="19"/>
  <c r="D45" i="19"/>
  <c r="C45" i="19"/>
  <c r="H44" i="19"/>
  <c r="G44" i="19"/>
  <c r="F44" i="19"/>
  <c r="E44" i="19"/>
  <c r="D44" i="19"/>
  <c r="C44" i="19"/>
  <c r="H43" i="19"/>
  <c r="G43" i="19"/>
  <c r="F43" i="19"/>
  <c r="E43" i="19"/>
  <c r="D43" i="19"/>
  <c r="C43" i="19"/>
  <c r="H42" i="19"/>
  <c r="G42" i="19"/>
  <c r="F42" i="19"/>
  <c r="E42" i="19"/>
  <c r="D42" i="19"/>
  <c r="C42" i="19"/>
  <c r="H41" i="19"/>
  <c r="G41" i="19"/>
  <c r="F41" i="19"/>
  <c r="E41" i="19"/>
  <c r="D41" i="19"/>
  <c r="C41" i="19"/>
  <c r="F38" i="19"/>
  <c r="R110" i="19" s="1"/>
  <c r="F37" i="19"/>
  <c r="R109" i="19" s="1"/>
  <c r="F36" i="19"/>
  <c r="R108" i="19" s="1"/>
  <c r="F35" i="19"/>
  <c r="R107" i="19" s="1"/>
  <c r="F34" i="19"/>
  <c r="R106" i="19" s="1"/>
  <c r="F33" i="19"/>
  <c r="R105" i="19" s="1"/>
  <c r="F32" i="19"/>
  <c r="F31" i="19"/>
  <c r="R103" i="19" s="1"/>
  <c r="F30" i="19"/>
  <c r="R102" i="19" s="1"/>
  <c r="F29" i="19"/>
  <c r="R101" i="19" s="1"/>
  <c r="F28" i="19"/>
  <c r="R100" i="19" s="1"/>
  <c r="F27" i="19"/>
  <c r="R99" i="19" s="1"/>
  <c r="F26" i="19"/>
  <c r="R98" i="19" s="1"/>
  <c r="F25" i="19"/>
  <c r="R97" i="19" s="1"/>
  <c r="F24" i="19"/>
  <c r="R96" i="19" s="1"/>
  <c r="AF16" i="19"/>
  <c r="T103" i="18" s="1"/>
  <c r="AE16" i="19"/>
  <c r="L16" i="19"/>
  <c r="K16" i="19"/>
  <c r="G16" i="19"/>
  <c r="F16" i="19"/>
  <c r="K35" i="18" s="1"/>
  <c r="AF3" i="19"/>
  <c r="AE3" i="19"/>
  <c r="AD3" i="19"/>
  <c r="AC3" i="19"/>
  <c r="AB3" i="19"/>
  <c r="AA3" i="19"/>
  <c r="Z3" i="19"/>
  <c r="Y3" i="19"/>
  <c r="X3" i="19"/>
  <c r="W3" i="19"/>
  <c r="V3" i="19"/>
  <c r="U3" i="19"/>
  <c r="T3" i="19"/>
  <c r="S3" i="19"/>
  <c r="R3" i="19"/>
  <c r="Q3" i="19"/>
  <c r="P3" i="19"/>
  <c r="O3" i="19"/>
  <c r="N3" i="19"/>
  <c r="M3" i="19"/>
  <c r="L3" i="19"/>
  <c r="K3" i="19"/>
  <c r="J3" i="19"/>
  <c r="I3" i="19"/>
  <c r="H3" i="19"/>
  <c r="G3" i="19"/>
  <c r="F3" i="19"/>
  <c r="E3" i="19"/>
  <c r="D3" i="19"/>
  <c r="C3" i="19"/>
  <c r="AK107" i="18"/>
  <c r="AJ107" i="18"/>
  <c r="AI107" i="18"/>
  <c r="AG107" i="18"/>
  <c r="AE107" i="18"/>
  <c r="AB107" i="18"/>
  <c r="X107" i="18"/>
  <c r="T107" i="18"/>
  <c r="O107" i="18"/>
  <c r="K107" i="18"/>
  <c r="I107" i="18"/>
  <c r="G107" i="18"/>
  <c r="L107" i="18" s="1"/>
  <c r="U107" i="18" s="1"/>
  <c r="F107" i="18"/>
  <c r="B107" i="18"/>
  <c r="C107" i="18" s="1"/>
  <c r="AK106" i="18"/>
  <c r="AJ106" i="18"/>
  <c r="AI106" i="18"/>
  <c r="AL106" i="18" s="1"/>
  <c r="H73" i="19" s="1"/>
  <c r="AG106" i="18"/>
  <c r="AE106" i="18"/>
  <c r="AB106" i="18"/>
  <c r="X106" i="18"/>
  <c r="T106" i="18"/>
  <c r="O106" i="18"/>
  <c r="K106" i="18"/>
  <c r="P106" i="18" s="1"/>
  <c r="I106" i="18"/>
  <c r="G106" i="18"/>
  <c r="L106" i="18" s="1"/>
  <c r="U106" i="18" s="1"/>
  <c r="F106" i="18"/>
  <c r="H106" i="18" s="1"/>
  <c r="B106" i="18"/>
  <c r="C106" i="18" s="1"/>
  <c r="AK105" i="18"/>
  <c r="AJ105" i="18"/>
  <c r="AI105" i="18"/>
  <c r="AG105" i="18"/>
  <c r="AE105" i="18"/>
  <c r="AB105" i="18"/>
  <c r="X105" i="18"/>
  <c r="T105" i="18"/>
  <c r="O105" i="18"/>
  <c r="L105" i="18"/>
  <c r="U105" i="18" s="1"/>
  <c r="K105" i="18"/>
  <c r="I105" i="18"/>
  <c r="P105" i="18" s="1"/>
  <c r="G105" i="18"/>
  <c r="H105" i="18" s="1"/>
  <c r="F105" i="18"/>
  <c r="B105" i="18"/>
  <c r="C105" i="18" s="1"/>
  <c r="AK104" i="18"/>
  <c r="AL104" i="18" s="1"/>
  <c r="H71" i="19" s="1"/>
  <c r="N107" i="19" s="1"/>
  <c r="AJ104" i="18"/>
  <c r="AI104" i="18"/>
  <c r="AG104" i="18"/>
  <c r="AE104" i="18"/>
  <c r="AB104" i="18"/>
  <c r="X104" i="18"/>
  <c r="U104" i="18"/>
  <c r="T104" i="18"/>
  <c r="O104" i="18"/>
  <c r="K104" i="18"/>
  <c r="P104" i="18" s="1"/>
  <c r="Q104" i="18" s="1"/>
  <c r="I104" i="18"/>
  <c r="H104" i="18"/>
  <c r="G104" i="18"/>
  <c r="L104" i="18" s="1"/>
  <c r="F104" i="18"/>
  <c r="B104" i="18"/>
  <c r="C104" i="18" s="1"/>
  <c r="AK103" i="18"/>
  <c r="AJ103" i="18"/>
  <c r="AI103" i="18"/>
  <c r="AL103" i="18" s="1"/>
  <c r="H70" i="19" s="1"/>
  <c r="N106" i="19" s="1"/>
  <c r="AG103" i="18"/>
  <c r="AE103" i="18"/>
  <c r="AB103" i="18"/>
  <c r="X103" i="18"/>
  <c r="O103" i="18"/>
  <c r="L103" i="18"/>
  <c r="U103" i="18" s="1"/>
  <c r="K103" i="18"/>
  <c r="P103" i="18" s="1"/>
  <c r="I103" i="18"/>
  <c r="H103" i="18"/>
  <c r="G103" i="18"/>
  <c r="F103" i="18"/>
  <c r="B103" i="18"/>
  <c r="C103" i="18" s="1"/>
  <c r="AK102" i="18"/>
  <c r="AJ102" i="18"/>
  <c r="AL102" i="18" s="1"/>
  <c r="H69" i="19" s="1"/>
  <c r="N105" i="19" s="1"/>
  <c r="AI102" i="18"/>
  <c r="AG102" i="18"/>
  <c r="AE102" i="18"/>
  <c r="AB102" i="18"/>
  <c r="X102" i="18"/>
  <c r="U102" i="18"/>
  <c r="T102" i="18"/>
  <c r="O102" i="18"/>
  <c r="K102" i="18"/>
  <c r="I102" i="18"/>
  <c r="H102" i="18"/>
  <c r="G102" i="18"/>
  <c r="L102" i="18" s="1"/>
  <c r="F102" i="18"/>
  <c r="B102" i="18"/>
  <c r="C102" i="18" s="1"/>
  <c r="AK101" i="18"/>
  <c r="AJ101" i="18"/>
  <c r="AI101" i="18"/>
  <c r="AG101" i="18"/>
  <c r="AE101" i="18"/>
  <c r="AB101" i="18"/>
  <c r="X101" i="18"/>
  <c r="U101" i="18"/>
  <c r="T101" i="18"/>
  <c r="O101" i="18"/>
  <c r="L101" i="18"/>
  <c r="K101" i="18"/>
  <c r="I101" i="18"/>
  <c r="G101" i="18"/>
  <c r="F101" i="18"/>
  <c r="H101" i="18" s="1"/>
  <c r="B101" i="18"/>
  <c r="AK100" i="18"/>
  <c r="AL100" i="18" s="1"/>
  <c r="H67" i="19" s="1"/>
  <c r="N103" i="19" s="1"/>
  <c r="AJ100" i="18"/>
  <c r="AI100" i="18"/>
  <c r="AG100" i="18"/>
  <c r="AE100" i="18"/>
  <c r="AB100" i="18"/>
  <c r="X100" i="18"/>
  <c r="T100" i="18"/>
  <c r="O100" i="18"/>
  <c r="L100" i="18"/>
  <c r="U100" i="18" s="1"/>
  <c r="K100" i="18"/>
  <c r="I100" i="18"/>
  <c r="P100" i="18" s="1"/>
  <c r="H100" i="18"/>
  <c r="G100" i="18"/>
  <c r="F100" i="18"/>
  <c r="B100" i="18"/>
  <c r="AK99" i="18"/>
  <c r="AJ99" i="18"/>
  <c r="AI99" i="18"/>
  <c r="AG99" i="18"/>
  <c r="AE99" i="18"/>
  <c r="AB99" i="18"/>
  <c r="X99" i="18"/>
  <c r="T99" i="18"/>
  <c r="O99" i="18"/>
  <c r="K99" i="18"/>
  <c r="I99" i="18"/>
  <c r="G99" i="18"/>
  <c r="L99" i="18" s="1"/>
  <c r="U99" i="18" s="1"/>
  <c r="F99" i="18"/>
  <c r="B99" i="18"/>
  <c r="AL98" i="18"/>
  <c r="H65" i="19" s="1"/>
  <c r="N101" i="19" s="1"/>
  <c r="AK98" i="18"/>
  <c r="AJ98" i="18"/>
  <c r="AI98" i="18"/>
  <c r="AG98" i="18"/>
  <c r="AE98" i="18"/>
  <c r="AB98" i="18"/>
  <c r="X98" i="18"/>
  <c r="U98" i="18"/>
  <c r="T98" i="18"/>
  <c r="P98" i="18"/>
  <c r="Q98" i="18" s="1"/>
  <c r="O98" i="18"/>
  <c r="L98" i="18"/>
  <c r="K98" i="18"/>
  <c r="I98" i="18"/>
  <c r="G98" i="18"/>
  <c r="F98" i="18"/>
  <c r="H98" i="18" s="1"/>
  <c r="B98" i="18"/>
  <c r="C98" i="18" s="1"/>
  <c r="AK97" i="18"/>
  <c r="AJ97" i="18"/>
  <c r="AI97" i="18"/>
  <c r="AG97" i="18"/>
  <c r="AE97" i="18"/>
  <c r="AB97" i="18"/>
  <c r="X97" i="18"/>
  <c r="T97" i="18"/>
  <c r="O97" i="18"/>
  <c r="L97" i="18"/>
  <c r="U97" i="18" s="1"/>
  <c r="K97" i="18"/>
  <c r="I97" i="18"/>
  <c r="H97" i="18"/>
  <c r="G97" i="18"/>
  <c r="F97" i="18"/>
  <c r="B97" i="18"/>
  <c r="AK96" i="18"/>
  <c r="AJ96" i="18"/>
  <c r="AI96" i="18"/>
  <c r="AL96" i="18" s="1"/>
  <c r="H63" i="19" s="1"/>
  <c r="AG96" i="18"/>
  <c r="AE96" i="18"/>
  <c r="AB96" i="18"/>
  <c r="X96" i="18"/>
  <c r="T96" i="18"/>
  <c r="O96" i="18"/>
  <c r="K96" i="18"/>
  <c r="P96" i="18" s="1"/>
  <c r="Q96" i="18" s="1"/>
  <c r="I96" i="18"/>
  <c r="H96" i="18"/>
  <c r="G96" i="18"/>
  <c r="L96" i="18" s="1"/>
  <c r="U96" i="18" s="1"/>
  <c r="F96" i="18"/>
  <c r="B96" i="18"/>
  <c r="AK95" i="18"/>
  <c r="AL95" i="18" s="1"/>
  <c r="H62" i="19" s="1"/>
  <c r="AJ95" i="18"/>
  <c r="AI95" i="18"/>
  <c r="AG95" i="18"/>
  <c r="AE95" i="18"/>
  <c r="AB95" i="18"/>
  <c r="X95" i="18"/>
  <c r="U95" i="18"/>
  <c r="T95" i="18"/>
  <c r="P95" i="18"/>
  <c r="O95" i="18"/>
  <c r="L95" i="18"/>
  <c r="K95" i="18"/>
  <c r="I95" i="18"/>
  <c r="G95" i="18"/>
  <c r="H95" i="18" s="1"/>
  <c r="F95" i="18"/>
  <c r="B95" i="18"/>
  <c r="AK94" i="18"/>
  <c r="AJ94" i="18"/>
  <c r="AI94" i="18"/>
  <c r="AG94" i="18"/>
  <c r="AE94" i="18"/>
  <c r="AB94" i="18"/>
  <c r="X94" i="18"/>
  <c r="T94" i="18"/>
  <c r="O94" i="18"/>
  <c r="L94" i="18"/>
  <c r="U94" i="18" s="1"/>
  <c r="K94" i="18"/>
  <c r="I94" i="18"/>
  <c r="P94" i="18" s="1"/>
  <c r="G94" i="18"/>
  <c r="F94" i="18"/>
  <c r="H94" i="18" s="1"/>
  <c r="B94" i="18"/>
  <c r="AK93" i="18"/>
  <c r="AJ93" i="18"/>
  <c r="AI93" i="18"/>
  <c r="AG93" i="18"/>
  <c r="AE93" i="18"/>
  <c r="AB93" i="18"/>
  <c r="X93" i="18"/>
  <c r="T93" i="18"/>
  <c r="O93" i="18"/>
  <c r="L93" i="18"/>
  <c r="U93" i="18" s="1"/>
  <c r="K93" i="18"/>
  <c r="I93" i="18"/>
  <c r="H93" i="18"/>
  <c r="G93" i="18"/>
  <c r="F93" i="18"/>
  <c r="B93" i="18"/>
  <c r="C93" i="18" s="1"/>
  <c r="AK92" i="18"/>
  <c r="AJ92" i="18"/>
  <c r="AI92" i="18"/>
  <c r="AG92" i="18"/>
  <c r="AE92" i="18"/>
  <c r="AB92" i="18"/>
  <c r="X92" i="18"/>
  <c r="T92" i="18"/>
  <c r="O92" i="18"/>
  <c r="L92" i="18"/>
  <c r="U92" i="18" s="1"/>
  <c r="K92" i="18"/>
  <c r="I92" i="18"/>
  <c r="G92" i="18"/>
  <c r="F92" i="18"/>
  <c r="H92" i="18" s="1"/>
  <c r="B92" i="18"/>
  <c r="C92" i="18" s="1"/>
  <c r="AK90" i="18"/>
  <c r="AJ90" i="18"/>
  <c r="AI90" i="18"/>
  <c r="AL90" i="18" s="1"/>
  <c r="G74" i="19" s="1"/>
  <c r="AG90" i="18"/>
  <c r="AE90" i="18"/>
  <c r="AB90" i="18"/>
  <c r="X90" i="18"/>
  <c r="T90" i="18"/>
  <c r="T124" i="18" s="1"/>
  <c r="O90" i="18"/>
  <c r="K90" i="18"/>
  <c r="I90" i="18"/>
  <c r="G90" i="18"/>
  <c r="L90" i="18" s="1"/>
  <c r="U90" i="18" s="1"/>
  <c r="F90" i="18"/>
  <c r="H90" i="18" s="1"/>
  <c r="B90" i="18"/>
  <c r="C90" i="18" s="1"/>
  <c r="AK89" i="18"/>
  <c r="AL89" i="18" s="1"/>
  <c r="G73" i="19" s="1"/>
  <c r="AJ89" i="18"/>
  <c r="AI89" i="18"/>
  <c r="AG89" i="18"/>
  <c r="AE89" i="18"/>
  <c r="AB89" i="18"/>
  <c r="X89" i="18"/>
  <c r="U89" i="18"/>
  <c r="T89" i="18"/>
  <c r="T123" i="18" s="1"/>
  <c r="Q89" i="18"/>
  <c r="P89" i="18"/>
  <c r="O89" i="18"/>
  <c r="L89" i="18"/>
  <c r="K89" i="18"/>
  <c r="I89" i="18"/>
  <c r="G89" i="18"/>
  <c r="F89" i="18"/>
  <c r="H89" i="18" s="1"/>
  <c r="B89" i="18"/>
  <c r="C89" i="18" s="1"/>
  <c r="AK88" i="18"/>
  <c r="AL88" i="18" s="1"/>
  <c r="G72" i="19" s="1"/>
  <c r="AJ88" i="18"/>
  <c r="AI88" i="18"/>
  <c r="AG88" i="18"/>
  <c r="AE88" i="18"/>
  <c r="AB88" i="18"/>
  <c r="X88" i="18"/>
  <c r="T88" i="18"/>
  <c r="T122" i="18" s="1"/>
  <c r="O88" i="18"/>
  <c r="L88" i="18"/>
  <c r="U88" i="18" s="1"/>
  <c r="K88" i="18"/>
  <c r="I88" i="18"/>
  <c r="P88" i="18" s="1"/>
  <c r="G88" i="18"/>
  <c r="F88" i="18"/>
  <c r="H88" i="18" s="1"/>
  <c r="B88" i="18"/>
  <c r="C88" i="18" s="1"/>
  <c r="AK87" i="18"/>
  <c r="AL87" i="18" s="1"/>
  <c r="G71" i="19" s="1"/>
  <c r="M107" i="19" s="1"/>
  <c r="AJ87" i="18"/>
  <c r="AI87" i="18"/>
  <c r="AG87" i="18"/>
  <c r="AE87" i="18"/>
  <c r="AB87" i="18"/>
  <c r="X87" i="18"/>
  <c r="T87" i="18"/>
  <c r="T121" i="18" s="1"/>
  <c r="O87" i="18"/>
  <c r="K87" i="18"/>
  <c r="I87" i="18"/>
  <c r="G87" i="18"/>
  <c r="L87" i="18" s="1"/>
  <c r="U87" i="18" s="1"/>
  <c r="F87" i="18"/>
  <c r="B87" i="18"/>
  <c r="C87" i="18" s="1"/>
  <c r="AK86" i="18"/>
  <c r="AJ86" i="18"/>
  <c r="AI86" i="18"/>
  <c r="AL86" i="18" s="1"/>
  <c r="G70" i="19" s="1"/>
  <c r="M106" i="19" s="1"/>
  <c r="AG86" i="18"/>
  <c r="AE86" i="18"/>
  <c r="AB86" i="18"/>
  <c r="X86" i="18"/>
  <c r="T86" i="18"/>
  <c r="O86" i="18"/>
  <c r="K86" i="18"/>
  <c r="I86" i="18"/>
  <c r="G86" i="18"/>
  <c r="F86" i="18"/>
  <c r="B86" i="18"/>
  <c r="C86" i="18" s="1"/>
  <c r="AK85" i="18"/>
  <c r="AJ85" i="18"/>
  <c r="AI85" i="18"/>
  <c r="AG85" i="18"/>
  <c r="AE85" i="18"/>
  <c r="AB85" i="18"/>
  <c r="X85" i="18"/>
  <c r="T85" i="18"/>
  <c r="T119" i="18" s="1"/>
  <c r="O85" i="18"/>
  <c r="L85" i="18"/>
  <c r="U85" i="18" s="1"/>
  <c r="K85" i="18"/>
  <c r="I85" i="18"/>
  <c r="G85" i="18"/>
  <c r="F85" i="18"/>
  <c r="H85" i="18" s="1"/>
  <c r="B85" i="18"/>
  <c r="C85" i="18" s="1"/>
  <c r="AK84" i="18"/>
  <c r="AJ84" i="18"/>
  <c r="AI84" i="18"/>
  <c r="AG84" i="18"/>
  <c r="AE84" i="18"/>
  <c r="AB84" i="18"/>
  <c r="X84" i="18"/>
  <c r="U84" i="18"/>
  <c r="T84" i="18"/>
  <c r="T118" i="18" s="1"/>
  <c r="O84" i="18"/>
  <c r="L84" i="18"/>
  <c r="K84" i="18"/>
  <c r="P84" i="18" s="1"/>
  <c r="Q84" i="18" s="1"/>
  <c r="I84" i="18"/>
  <c r="G84" i="18"/>
  <c r="F84" i="18"/>
  <c r="H84" i="18" s="1"/>
  <c r="B84" i="18"/>
  <c r="C84" i="18" s="1"/>
  <c r="AK83" i="18"/>
  <c r="AJ83" i="18"/>
  <c r="AI83" i="18"/>
  <c r="AG83" i="18"/>
  <c r="AE83" i="18"/>
  <c r="AB83" i="18"/>
  <c r="X83" i="18"/>
  <c r="T83" i="18"/>
  <c r="T117" i="18" s="1"/>
  <c r="O83" i="18"/>
  <c r="L83" i="18"/>
  <c r="U83" i="18" s="1"/>
  <c r="K83" i="18"/>
  <c r="I83" i="18"/>
  <c r="P83" i="18" s="1"/>
  <c r="H83" i="18"/>
  <c r="G83" i="18"/>
  <c r="F83" i="18"/>
  <c r="B83" i="18"/>
  <c r="C83" i="18" s="1"/>
  <c r="AK82" i="18"/>
  <c r="AJ82" i="18"/>
  <c r="AI82" i="18"/>
  <c r="AG82" i="18"/>
  <c r="AE82" i="18"/>
  <c r="AB82" i="18"/>
  <c r="X82" i="18"/>
  <c r="T82" i="18"/>
  <c r="T116" i="18" s="1"/>
  <c r="O82" i="18"/>
  <c r="K82" i="18"/>
  <c r="I82" i="18"/>
  <c r="G82" i="18"/>
  <c r="L82" i="18" s="1"/>
  <c r="U82" i="18" s="1"/>
  <c r="F82" i="18"/>
  <c r="B82" i="18"/>
  <c r="C82" i="18" s="1"/>
  <c r="AK81" i="18"/>
  <c r="AL81" i="18" s="1"/>
  <c r="G65" i="19" s="1"/>
  <c r="M101" i="19" s="1"/>
  <c r="AJ81" i="18"/>
  <c r="AI81" i="18"/>
  <c r="AG81" i="18"/>
  <c r="AE81" i="18"/>
  <c r="AB81" i="18"/>
  <c r="X81" i="18"/>
  <c r="U81" i="18"/>
  <c r="T81" i="18"/>
  <c r="T115" i="18" s="1"/>
  <c r="O81" i="18"/>
  <c r="L81" i="18"/>
  <c r="K81" i="18"/>
  <c r="P81" i="18" s="1"/>
  <c r="Q81" i="18" s="1"/>
  <c r="I81" i="18"/>
  <c r="G81" i="18"/>
  <c r="F81" i="18"/>
  <c r="B81" i="18"/>
  <c r="C81" i="18" s="1"/>
  <c r="AK80" i="18"/>
  <c r="AL80" i="18" s="1"/>
  <c r="G64" i="19" s="1"/>
  <c r="M100" i="19" s="1"/>
  <c r="AJ80" i="18"/>
  <c r="AI80" i="18"/>
  <c r="AG80" i="18"/>
  <c r="AE80" i="18"/>
  <c r="AB80" i="18"/>
  <c r="X80" i="18"/>
  <c r="T80" i="18"/>
  <c r="T114" i="18" s="1"/>
  <c r="O80" i="18"/>
  <c r="L80" i="18"/>
  <c r="U80" i="18" s="1"/>
  <c r="K80" i="18"/>
  <c r="I80" i="18"/>
  <c r="G80" i="18"/>
  <c r="F80" i="18"/>
  <c r="H80" i="18" s="1"/>
  <c r="B80" i="18"/>
  <c r="C80" i="18" s="1"/>
  <c r="AK79" i="18"/>
  <c r="AL79" i="18" s="1"/>
  <c r="G63" i="19" s="1"/>
  <c r="AJ79" i="18"/>
  <c r="AI79" i="18"/>
  <c r="AG79" i="18"/>
  <c r="AE79" i="18"/>
  <c r="AB79" i="18"/>
  <c r="X79" i="18"/>
  <c r="U79" i="18"/>
  <c r="T79" i="18"/>
  <c r="T113" i="18" s="1"/>
  <c r="O79" i="18"/>
  <c r="K79" i="18"/>
  <c r="P79" i="18" s="1"/>
  <c r="I79" i="18"/>
  <c r="H79" i="18"/>
  <c r="G79" i="18"/>
  <c r="L79" i="18" s="1"/>
  <c r="F79" i="18"/>
  <c r="B79" i="18"/>
  <c r="C79" i="18" s="1"/>
  <c r="AK78" i="18"/>
  <c r="AJ78" i="18"/>
  <c r="AI78" i="18"/>
  <c r="AL78" i="18" s="1"/>
  <c r="G62" i="19" s="1"/>
  <c r="M98" i="19" s="1"/>
  <c r="AG78" i="18"/>
  <c r="AE78" i="18"/>
  <c r="AB78" i="18"/>
  <c r="X78" i="18"/>
  <c r="U78" i="18"/>
  <c r="T78" i="18"/>
  <c r="T112" i="18" s="1"/>
  <c r="O78" i="18"/>
  <c r="K78" i="18"/>
  <c r="I78" i="18"/>
  <c r="G78" i="18"/>
  <c r="L78" i="18" s="1"/>
  <c r="F78" i="18"/>
  <c r="B78" i="18"/>
  <c r="C78" i="18" s="1"/>
  <c r="AK77" i="18"/>
  <c r="AJ77" i="18"/>
  <c r="AI77" i="18"/>
  <c r="AG77" i="18"/>
  <c r="AE77" i="18"/>
  <c r="AB77" i="18"/>
  <c r="X77" i="18"/>
  <c r="T77" i="18"/>
  <c r="T111" i="18" s="1"/>
  <c r="O77" i="18"/>
  <c r="L77" i="18"/>
  <c r="U77" i="18" s="1"/>
  <c r="K77" i="18"/>
  <c r="I77" i="18"/>
  <c r="G77" i="18"/>
  <c r="F77" i="18"/>
  <c r="H77" i="18" s="1"/>
  <c r="B77" i="18"/>
  <c r="C77" i="18" s="1"/>
  <c r="AK76" i="18"/>
  <c r="AJ76" i="18"/>
  <c r="AI76" i="18"/>
  <c r="AL76" i="18" s="1"/>
  <c r="G60" i="19" s="1"/>
  <c r="M96" i="19" s="1"/>
  <c r="AG76" i="18"/>
  <c r="AE76" i="18"/>
  <c r="AB76" i="18"/>
  <c r="X76" i="18"/>
  <c r="T76" i="18"/>
  <c r="O76" i="18"/>
  <c r="L76" i="18"/>
  <c r="U76" i="18" s="1"/>
  <c r="K76" i="18"/>
  <c r="P76" i="18" s="1"/>
  <c r="Q76" i="18" s="1"/>
  <c r="I76" i="18"/>
  <c r="H76" i="18"/>
  <c r="G76" i="18"/>
  <c r="F76" i="18"/>
  <c r="B76" i="18"/>
  <c r="C76" i="18" s="1"/>
  <c r="AK75" i="18"/>
  <c r="AJ75" i="18"/>
  <c r="AI75" i="18"/>
  <c r="AG75" i="18"/>
  <c r="AE75" i="18"/>
  <c r="AB75" i="18"/>
  <c r="X75" i="18"/>
  <c r="T75" i="18"/>
  <c r="T109" i="18" s="1"/>
  <c r="O75" i="18"/>
  <c r="L75" i="18"/>
  <c r="U75" i="18" s="1"/>
  <c r="K75" i="18"/>
  <c r="I75" i="18"/>
  <c r="P75" i="18" s="1"/>
  <c r="H75" i="18"/>
  <c r="G75" i="18"/>
  <c r="F75" i="18"/>
  <c r="B75" i="18"/>
  <c r="C75" i="18" s="1"/>
  <c r="AK73" i="18"/>
  <c r="AJ73" i="18"/>
  <c r="AI73" i="18"/>
  <c r="AL73" i="18" s="1"/>
  <c r="F74" i="19" s="1"/>
  <c r="AG73" i="18"/>
  <c r="AE73" i="18"/>
  <c r="AB73" i="18"/>
  <c r="X73" i="18"/>
  <c r="O73" i="18"/>
  <c r="K73" i="18"/>
  <c r="I73" i="18"/>
  <c r="P73" i="18" s="1"/>
  <c r="G73" i="18"/>
  <c r="L73" i="18" s="1"/>
  <c r="U73" i="18" s="1"/>
  <c r="F73" i="18"/>
  <c r="H73" i="18" s="1"/>
  <c r="B73" i="18"/>
  <c r="C73" i="18" s="1"/>
  <c r="AK72" i="18"/>
  <c r="AL72" i="18" s="1"/>
  <c r="F73" i="19" s="1"/>
  <c r="AJ72" i="18"/>
  <c r="AI72" i="18"/>
  <c r="AG72" i="18"/>
  <c r="AE72" i="18"/>
  <c r="AB72" i="18"/>
  <c r="X72" i="18"/>
  <c r="U72" i="18"/>
  <c r="O72" i="18"/>
  <c r="L72" i="18"/>
  <c r="K72" i="18"/>
  <c r="P72" i="18" s="1"/>
  <c r="Q72" i="18" s="1"/>
  <c r="I72" i="18"/>
  <c r="G72" i="18"/>
  <c r="F72" i="18"/>
  <c r="H72" i="18" s="1"/>
  <c r="B72" i="18"/>
  <c r="AK71" i="18"/>
  <c r="AL71" i="18" s="1"/>
  <c r="F72" i="19" s="1"/>
  <c r="AJ71" i="18"/>
  <c r="AI71" i="18"/>
  <c r="AG71" i="18"/>
  <c r="AE71" i="18"/>
  <c r="AB71" i="18"/>
  <c r="X71" i="18"/>
  <c r="O71" i="18"/>
  <c r="L71" i="18"/>
  <c r="U71" i="18" s="1"/>
  <c r="K71" i="18"/>
  <c r="P71" i="18" s="1"/>
  <c r="I71" i="18"/>
  <c r="G71" i="18"/>
  <c r="F71" i="18"/>
  <c r="H71" i="18" s="1"/>
  <c r="B71" i="18"/>
  <c r="C71" i="18" s="1"/>
  <c r="AK70" i="18"/>
  <c r="AL70" i="18" s="1"/>
  <c r="F71" i="19" s="1"/>
  <c r="L107" i="19" s="1"/>
  <c r="AJ70" i="18"/>
  <c r="AI70" i="18"/>
  <c r="AG70" i="18"/>
  <c r="AE70" i="18"/>
  <c r="AB70" i="18"/>
  <c r="X70" i="18"/>
  <c r="O70" i="18"/>
  <c r="K70" i="18"/>
  <c r="P70" i="18" s="1"/>
  <c r="I70" i="18"/>
  <c r="G70" i="18"/>
  <c r="L70" i="18" s="1"/>
  <c r="U70" i="18" s="1"/>
  <c r="F70" i="18"/>
  <c r="B70" i="18"/>
  <c r="C70" i="18" s="1"/>
  <c r="AK69" i="18"/>
  <c r="AJ69" i="18"/>
  <c r="AL69" i="18" s="1"/>
  <c r="F70" i="19" s="1"/>
  <c r="L106" i="19" s="1"/>
  <c r="AI69" i="18"/>
  <c r="AG69" i="18"/>
  <c r="AE69" i="18"/>
  <c r="AB69" i="18"/>
  <c r="X69" i="18"/>
  <c r="O69" i="18"/>
  <c r="L69" i="18"/>
  <c r="U69" i="18" s="1"/>
  <c r="K69" i="18"/>
  <c r="P69" i="18" s="1"/>
  <c r="I69" i="18"/>
  <c r="H69" i="18"/>
  <c r="G69" i="18"/>
  <c r="F69" i="18"/>
  <c r="B69" i="18"/>
  <c r="C69" i="18" s="1"/>
  <c r="AK68" i="18"/>
  <c r="AJ68" i="18"/>
  <c r="AL68" i="18" s="1"/>
  <c r="F69" i="19" s="1"/>
  <c r="L105" i="19" s="1"/>
  <c r="AI68" i="18"/>
  <c r="AG68" i="18"/>
  <c r="AE68" i="18"/>
  <c r="AB68" i="18"/>
  <c r="X68" i="18"/>
  <c r="O68" i="18"/>
  <c r="P68" i="18" s="1"/>
  <c r="L68" i="18"/>
  <c r="U68" i="18" s="1"/>
  <c r="K68" i="18"/>
  <c r="I68" i="18"/>
  <c r="G68" i="18"/>
  <c r="F68" i="18"/>
  <c r="H68" i="18" s="1"/>
  <c r="B68" i="18"/>
  <c r="C68" i="18" s="1"/>
  <c r="AK67" i="18"/>
  <c r="AJ67" i="18"/>
  <c r="AI67" i="18"/>
  <c r="AG67" i="18"/>
  <c r="AE67" i="18"/>
  <c r="AB67" i="18"/>
  <c r="X67" i="18"/>
  <c r="O67" i="18"/>
  <c r="K67" i="18"/>
  <c r="I67" i="18"/>
  <c r="G67" i="18"/>
  <c r="L67" i="18" s="1"/>
  <c r="U67" i="18" s="1"/>
  <c r="F67" i="18"/>
  <c r="H67" i="18" s="1"/>
  <c r="B67" i="18"/>
  <c r="C67" i="18" s="1"/>
  <c r="AK66" i="18"/>
  <c r="AJ66" i="18"/>
  <c r="AI66" i="18"/>
  <c r="AL66" i="18" s="1"/>
  <c r="F67" i="19" s="1"/>
  <c r="AG66" i="18"/>
  <c r="AE66" i="18"/>
  <c r="AB66" i="18"/>
  <c r="X66" i="18"/>
  <c r="U66" i="18"/>
  <c r="O66" i="18"/>
  <c r="L66" i="18"/>
  <c r="K66" i="18"/>
  <c r="P66" i="18" s="1"/>
  <c r="I66" i="18"/>
  <c r="G66" i="18"/>
  <c r="F66" i="18"/>
  <c r="H66" i="18" s="1"/>
  <c r="B66" i="18"/>
  <c r="C66" i="18" s="1"/>
  <c r="AK65" i="18"/>
  <c r="AJ65" i="18"/>
  <c r="AI65" i="18"/>
  <c r="AG65" i="18"/>
  <c r="AE65" i="18"/>
  <c r="AB65" i="18"/>
  <c r="X65" i="18"/>
  <c r="O65" i="18"/>
  <c r="L65" i="18"/>
  <c r="U65" i="18" s="1"/>
  <c r="K65" i="18"/>
  <c r="I65" i="18"/>
  <c r="G65" i="18"/>
  <c r="F65" i="18"/>
  <c r="H65" i="18" s="1"/>
  <c r="B65" i="18"/>
  <c r="C65" i="18" s="1"/>
  <c r="AK64" i="18"/>
  <c r="AL64" i="18" s="1"/>
  <c r="F65" i="19" s="1"/>
  <c r="L101" i="19" s="1"/>
  <c r="AJ64" i="18"/>
  <c r="AI64" i="18"/>
  <c r="AG64" i="18"/>
  <c r="AE64" i="18"/>
  <c r="AB64" i="18"/>
  <c r="X64" i="18"/>
  <c r="U64" i="18"/>
  <c r="O64" i="18"/>
  <c r="L64" i="18"/>
  <c r="K64" i="18"/>
  <c r="P64" i="18" s="1"/>
  <c r="I64" i="18"/>
  <c r="G64" i="18"/>
  <c r="F64" i="18"/>
  <c r="H64" i="18" s="1"/>
  <c r="B64" i="18"/>
  <c r="C64" i="18" s="1"/>
  <c r="AK63" i="18"/>
  <c r="AJ63" i="18"/>
  <c r="AL63" i="18" s="1"/>
  <c r="F64" i="19" s="1"/>
  <c r="L100" i="19" s="1"/>
  <c r="AI63" i="18"/>
  <c r="AG63" i="18"/>
  <c r="AE63" i="18"/>
  <c r="AB63" i="18"/>
  <c r="X63" i="18"/>
  <c r="O63" i="18"/>
  <c r="K63" i="18"/>
  <c r="I63" i="18"/>
  <c r="G63" i="18"/>
  <c r="L63" i="18" s="1"/>
  <c r="U63" i="18" s="1"/>
  <c r="F63" i="18"/>
  <c r="H63" i="18" s="1"/>
  <c r="B63" i="18"/>
  <c r="C63" i="18" s="1"/>
  <c r="AK62" i="18"/>
  <c r="AJ62" i="18"/>
  <c r="AI62" i="18"/>
  <c r="AG62" i="18"/>
  <c r="AE62" i="18"/>
  <c r="AB62" i="18"/>
  <c r="X62" i="18"/>
  <c r="O62" i="18"/>
  <c r="K62" i="18"/>
  <c r="I62" i="18"/>
  <c r="G62" i="18"/>
  <c r="F62" i="18"/>
  <c r="B62" i="18"/>
  <c r="C62" i="18" s="1"/>
  <c r="AK61" i="18"/>
  <c r="AL61" i="18" s="1"/>
  <c r="F62" i="19" s="1"/>
  <c r="AJ61" i="18"/>
  <c r="AI61" i="18"/>
  <c r="AG61" i="18"/>
  <c r="AE61" i="18"/>
  <c r="AB61" i="18"/>
  <c r="X61" i="18"/>
  <c r="O61" i="18"/>
  <c r="L61" i="18"/>
  <c r="U61" i="18" s="1"/>
  <c r="K61" i="18"/>
  <c r="I61" i="18"/>
  <c r="H61" i="18"/>
  <c r="G61" i="18"/>
  <c r="F61" i="18"/>
  <c r="B61" i="18"/>
  <c r="C61" i="18" s="1"/>
  <c r="AK60" i="18"/>
  <c r="AJ60" i="18"/>
  <c r="AL60" i="18" s="1"/>
  <c r="F61" i="19" s="1"/>
  <c r="L97" i="19" s="1"/>
  <c r="AI60" i="18"/>
  <c r="AG60" i="18"/>
  <c r="AE60" i="18"/>
  <c r="AB60" i="18"/>
  <c r="X60" i="18"/>
  <c r="O60" i="18"/>
  <c r="L60" i="18"/>
  <c r="U60" i="18" s="1"/>
  <c r="K60" i="18"/>
  <c r="I60" i="18"/>
  <c r="P60" i="18" s="1"/>
  <c r="G60" i="18"/>
  <c r="F60" i="18"/>
  <c r="H60" i="18" s="1"/>
  <c r="B60" i="18"/>
  <c r="C60" i="18" s="1"/>
  <c r="AK59" i="18"/>
  <c r="AJ59" i="18"/>
  <c r="AI59" i="18"/>
  <c r="AG59" i="18"/>
  <c r="AE59" i="18"/>
  <c r="AB59" i="18"/>
  <c r="X59" i="18"/>
  <c r="O59" i="18"/>
  <c r="L59" i="18"/>
  <c r="U59" i="18" s="1"/>
  <c r="K59" i="18"/>
  <c r="I59" i="18"/>
  <c r="H59" i="18"/>
  <c r="G59" i="18"/>
  <c r="F59" i="18"/>
  <c r="B59" i="18"/>
  <c r="C59" i="18" s="1"/>
  <c r="AK58" i="18"/>
  <c r="AJ58" i="18"/>
  <c r="AI58" i="18"/>
  <c r="AG58" i="18"/>
  <c r="AE58" i="18"/>
  <c r="AB58" i="18"/>
  <c r="X58" i="18"/>
  <c r="U58" i="18"/>
  <c r="O58" i="18"/>
  <c r="L58" i="18"/>
  <c r="K58" i="18"/>
  <c r="I58" i="18"/>
  <c r="H58" i="18"/>
  <c r="G58" i="18"/>
  <c r="F58" i="18"/>
  <c r="B58" i="18"/>
  <c r="C58" i="18" s="1"/>
  <c r="AK56" i="18"/>
  <c r="AJ56" i="18"/>
  <c r="AI56" i="18"/>
  <c r="AG56" i="18"/>
  <c r="AE56" i="18"/>
  <c r="AB56" i="18"/>
  <c r="X56" i="18"/>
  <c r="O56" i="18"/>
  <c r="L56" i="18"/>
  <c r="U56" i="18" s="1"/>
  <c r="K56" i="18"/>
  <c r="I56" i="18"/>
  <c r="H56" i="18"/>
  <c r="G56" i="18"/>
  <c r="F56" i="18"/>
  <c r="B56" i="18"/>
  <c r="C56" i="18" s="1"/>
  <c r="AK55" i="18"/>
  <c r="AJ55" i="18"/>
  <c r="AI55" i="18"/>
  <c r="AG55" i="18"/>
  <c r="AE55" i="18"/>
  <c r="AB55" i="18"/>
  <c r="X55" i="18"/>
  <c r="U55" i="18"/>
  <c r="O55" i="18"/>
  <c r="K55" i="18"/>
  <c r="I55" i="18"/>
  <c r="P55" i="18" s="1"/>
  <c r="H55" i="18"/>
  <c r="G55" i="18"/>
  <c r="L55" i="18" s="1"/>
  <c r="F55" i="18"/>
  <c r="B55" i="18"/>
  <c r="C55" i="18" s="1"/>
  <c r="AK54" i="18"/>
  <c r="AJ54" i="18"/>
  <c r="AL54" i="18" s="1"/>
  <c r="E72" i="19" s="1"/>
  <c r="K108" i="19" s="1"/>
  <c r="AI54" i="18"/>
  <c r="AG54" i="18"/>
  <c r="AE54" i="18"/>
  <c r="AB54" i="18"/>
  <c r="X54" i="18"/>
  <c r="O54" i="18"/>
  <c r="L54" i="18"/>
  <c r="U54" i="18" s="1"/>
  <c r="K54" i="18"/>
  <c r="I54" i="18"/>
  <c r="G54" i="18"/>
  <c r="H54" i="18" s="1"/>
  <c r="F54" i="18"/>
  <c r="B54" i="18"/>
  <c r="C54" i="18" s="1"/>
  <c r="AK53" i="18"/>
  <c r="AJ53" i="18"/>
  <c r="AI53" i="18"/>
  <c r="AG53" i="18"/>
  <c r="AE53" i="18"/>
  <c r="AB53" i="18"/>
  <c r="X53" i="18"/>
  <c r="O53" i="18"/>
  <c r="K53" i="18"/>
  <c r="I53" i="18"/>
  <c r="G53" i="18"/>
  <c r="L53" i="18" s="1"/>
  <c r="U53" i="18" s="1"/>
  <c r="F53" i="18"/>
  <c r="B53" i="18"/>
  <c r="C53" i="18" s="1"/>
  <c r="AK52" i="18"/>
  <c r="AL52" i="18" s="1"/>
  <c r="E70" i="19" s="1"/>
  <c r="K106" i="19" s="1"/>
  <c r="AJ52" i="18"/>
  <c r="AI52" i="18"/>
  <c r="AG52" i="18"/>
  <c r="AE52" i="18"/>
  <c r="AB52" i="18"/>
  <c r="X52" i="18"/>
  <c r="U52" i="18"/>
  <c r="Q52" i="18"/>
  <c r="P52" i="18"/>
  <c r="O52" i="18"/>
  <c r="K52" i="18"/>
  <c r="I52" i="18"/>
  <c r="G52" i="18"/>
  <c r="L52" i="18" s="1"/>
  <c r="F52" i="18"/>
  <c r="H52" i="18" s="1"/>
  <c r="B52" i="18"/>
  <c r="C52" i="18" s="1"/>
  <c r="AK51" i="18"/>
  <c r="AJ51" i="18"/>
  <c r="AI51" i="18"/>
  <c r="AG51" i="18"/>
  <c r="AE51" i="18"/>
  <c r="AB51" i="18"/>
  <c r="X51" i="18"/>
  <c r="O51" i="18"/>
  <c r="K51" i="18"/>
  <c r="I51" i="18"/>
  <c r="G51" i="18"/>
  <c r="L51" i="18" s="1"/>
  <c r="U51" i="18" s="1"/>
  <c r="F51" i="18"/>
  <c r="B51" i="18"/>
  <c r="C51" i="18" s="1"/>
  <c r="AK50" i="18"/>
  <c r="AJ50" i="18"/>
  <c r="AI50" i="18"/>
  <c r="AG50" i="18"/>
  <c r="AE50" i="18"/>
  <c r="AB50" i="18"/>
  <c r="X50" i="18"/>
  <c r="U50" i="18"/>
  <c r="O50" i="18"/>
  <c r="L50" i="18"/>
  <c r="K50" i="18"/>
  <c r="I50" i="18"/>
  <c r="H50" i="18"/>
  <c r="G50" i="18"/>
  <c r="F50" i="18"/>
  <c r="B50" i="18"/>
  <c r="C50" i="18" s="1"/>
  <c r="AL49" i="18"/>
  <c r="E67" i="19" s="1"/>
  <c r="K103" i="19" s="1"/>
  <c r="AK49" i="18"/>
  <c r="AJ49" i="18"/>
  <c r="AI49" i="18"/>
  <c r="AG49" i="18"/>
  <c r="AE49" i="18"/>
  <c r="AB49" i="18"/>
  <c r="X49" i="18"/>
  <c r="O49" i="18"/>
  <c r="L49" i="18"/>
  <c r="U49" i="18" s="1"/>
  <c r="K49" i="18"/>
  <c r="I49" i="18"/>
  <c r="H49" i="18"/>
  <c r="G49" i="18"/>
  <c r="F49" i="18"/>
  <c r="B49" i="18"/>
  <c r="C49" i="18" s="1"/>
  <c r="AK48" i="18"/>
  <c r="AL48" i="18" s="1"/>
  <c r="E66" i="19" s="1"/>
  <c r="K102" i="19" s="1"/>
  <c r="AJ48" i="18"/>
  <c r="AI48" i="18"/>
  <c r="AG48" i="18"/>
  <c r="AE48" i="18"/>
  <c r="AB48" i="18"/>
  <c r="X48" i="18"/>
  <c r="O48" i="18"/>
  <c r="K48" i="18"/>
  <c r="I48" i="18"/>
  <c r="G48" i="18"/>
  <c r="L48" i="18" s="1"/>
  <c r="U48" i="18" s="1"/>
  <c r="F48" i="18"/>
  <c r="H48" i="18" s="1"/>
  <c r="B48" i="18"/>
  <c r="C48" i="18" s="1"/>
  <c r="AK47" i="18"/>
  <c r="AJ47" i="18"/>
  <c r="AI47" i="18"/>
  <c r="AL47" i="18" s="1"/>
  <c r="E65" i="19" s="1"/>
  <c r="K101" i="19" s="1"/>
  <c r="AG47" i="18"/>
  <c r="AE47" i="18"/>
  <c r="AB47" i="18"/>
  <c r="X47" i="18"/>
  <c r="O47" i="18"/>
  <c r="K47" i="18"/>
  <c r="I47" i="18"/>
  <c r="P47" i="18" s="1"/>
  <c r="G47" i="18"/>
  <c r="L47" i="18" s="1"/>
  <c r="U47" i="18" s="1"/>
  <c r="F47" i="18"/>
  <c r="B47" i="18"/>
  <c r="C47" i="18" s="1"/>
  <c r="AK46" i="18"/>
  <c r="AL46" i="18" s="1"/>
  <c r="E64" i="19" s="1"/>
  <c r="K100" i="19" s="1"/>
  <c r="AJ46" i="18"/>
  <c r="AI46" i="18"/>
  <c r="AG46" i="18"/>
  <c r="AE46" i="18"/>
  <c r="AB46" i="18"/>
  <c r="X46" i="18"/>
  <c r="U46" i="18"/>
  <c r="O46" i="18"/>
  <c r="L46" i="18"/>
  <c r="K46" i="18"/>
  <c r="I46" i="18"/>
  <c r="P46" i="18" s="1"/>
  <c r="G46" i="18"/>
  <c r="F46" i="18"/>
  <c r="H46" i="18" s="1"/>
  <c r="B46" i="18"/>
  <c r="C46" i="18" s="1"/>
  <c r="AK45" i="18"/>
  <c r="AJ45" i="18"/>
  <c r="AI45" i="18"/>
  <c r="AG45" i="18"/>
  <c r="AE45" i="18"/>
  <c r="AB45" i="18"/>
  <c r="X45" i="18"/>
  <c r="O45" i="18"/>
  <c r="L45" i="18"/>
  <c r="U45" i="18" s="1"/>
  <c r="K45" i="18"/>
  <c r="I45" i="18"/>
  <c r="G45" i="18"/>
  <c r="F45" i="18"/>
  <c r="B45" i="18"/>
  <c r="C45" i="18" s="1"/>
  <c r="AL44" i="18"/>
  <c r="E62" i="19" s="1"/>
  <c r="K98" i="19" s="1"/>
  <c r="AK44" i="18"/>
  <c r="AJ44" i="18"/>
  <c r="AI44" i="18"/>
  <c r="AG44" i="18"/>
  <c r="AE44" i="18"/>
  <c r="AB44" i="18"/>
  <c r="X44" i="18"/>
  <c r="U44" i="18"/>
  <c r="O44" i="18"/>
  <c r="K44" i="18"/>
  <c r="I44" i="18"/>
  <c r="G44" i="18"/>
  <c r="L44" i="18" s="1"/>
  <c r="P44" i="18" s="1"/>
  <c r="F44" i="18"/>
  <c r="H44" i="18" s="1"/>
  <c r="B44" i="18"/>
  <c r="C44" i="18" s="1"/>
  <c r="AK43" i="18"/>
  <c r="AJ43" i="18"/>
  <c r="AI43" i="18"/>
  <c r="AG43" i="18"/>
  <c r="AE43" i="18"/>
  <c r="AB43" i="18"/>
  <c r="X43" i="18"/>
  <c r="O43" i="18"/>
  <c r="L43" i="18"/>
  <c r="U43" i="18" s="1"/>
  <c r="K43" i="18"/>
  <c r="I43" i="18"/>
  <c r="H43" i="18"/>
  <c r="G43" i="18"/>
  <c r="F43" i="18"/>
  <c r="B43" i="18"/>
  <c r="C43" i="18" s="1"/>
  <c r="AK42" i="18"/>
  <c r="AJ42" i="18"/>
  <c r="AI42" i="18"/>
  <c r="AL42" i="18" s="1"/>
  <c r="E60" i="19" s="1"/>
  <c r="K96" i="19" s="1"/>
  <c r="AG42" i="18"/>
  <c r="AE42" i="18"/>
  <c r="AB42" i="18"/>
  <c r="X42" i="18"/>
  <c r="U42" i="18"/>
  <c r="O42" i="18"/>
  <c r="L42" i="18"/>
  <c r="K42" i="18"/>
  <c r="I42" i="18"/>
  <c r="H42" i="18"/>
  <c r="G42" i="18"/>
  <c r="F42" i="18"/>
  <c r="B42" i="18"/>
  <c r="C42" i="18" s="1"/>
  <c r="AK41" i="18"/>
  <c r="AJ41" i="18"/>
  <c r="AI41" i="18"/>
  <c r="AG41" i="18"/>
  <c r="AE41" i="18"/>
  <c r="AB41" i="18"/>
  <c r="X41" i="18"/>
  <c r="Q41" i="18"/>
  <c r="P41" i="18"/>
  <c r="O41" i="18"/>
  <c r="L41" i="18"/>
  <c r="U41" i="18" s="1"/>
  <c r="K41" i="18"/>
  <c r="I41" i="18"/>
  <c r="H41" i="18"/>
  <c r="G41" i="18"/>
  <c r="F41" i="18"/>
  <c r="B41" i="18"/>
  <c r="AK39" i="18"/>
  <c r="AL39" i="18" s="1"/>
  <c r="D74" i="19" s="1"/>
  <c r="AJ39" i="18"/>
  <c r="AI39" i="18"/>
  <c r="AG39" i="18"/>
  <c r="AE39" i="18"/>
  <c r="AB39" i="18"/>
  <c r="X39" i="18"/>
  <c r="O39" i="18"/>
  <c r="K39" i="18"/>
  <c r="I39" i="18"/>
  <c r="H39" i="18"/>
  <c r="G39" i="18"/>
  <c r="L39" i="18" s="1"/>
  <c r="U39" i="18" s="1"/>
  <c r="F39" i="18"/>
  <c r="B39" i="18"/>
  <c r="AK38" i="18"/>
  <c r="AJ38" i="18"/>
  <c r="AI38" i="18"/>
  <c r="AL38" i="18" s="1"/>
  <c r="D73" i="19" s="1"/>
  <c r="AG38" i="18"/>
  <c r="AE38" i="18"/>
  <c r="AB38" i="18"/>
  <c r="X38" i="18"/>
  <c r="O38" i="18"/>
  <c r="K38" i="18"/>
  <c r="I38" i="18"/>
  <c r="G38" i="18"/>
  <c r="L38" i="18" s="1"/>
  <c r="U38" i="18" s="1"/>
  <c r="F38" i="18"/>
  <c r="H38" i="18" s="1"/>
  <c r="B38" i="18"/>
  <c r="C38" i="18" s="1"/>
  <c r="AK37" i="18"/>
  <c r="AJ37" i="18"/>
  <c r="AI37" i="18"/>
  <c r="AG37" i="18"/>
  <c r="AE37" i="18"/>
  <c r="AB37" i="18"/>
  <c r="X37" i="18"/>
  <c r="O37" i="18"/>
  <c r="L37" i="18"/>
  <c r="U37" i="18" s="1"/>
  <c r="K37" i="18"/>
  <c r="P37" i="18" s="1"/>
  <c r="I37" i="18"/>
  <c r="G37" i="18"/>
  <c r="F37" i="18"/>
  <c r="H37" i="18" s="1"/>
  <c r="B37" i="18"/>
  <c r="C37" i="18" s="1"/>
  <c r="AK36" i="18"/>
  <c r="AJ36" i="18"/>
  <c r="AI36" i="18"/>
  <c r="AL36" i="18" s="1"/>
  <c r="D71" i="19" s="1"/>
  <c r="J107" i="19" s="1"/>
  <c r="AG36" i="18"/>
  <c r="AE36" i="18"/>
  <c r="AB36" i="18"/>
  <c r="X36" i="18"/>
  <c r="O36" i="18"/>
  <c r="L36" i="18"/>
  <c r="U36" i="18" s="1"/>
  <c r="K36" i="18"/>
  <c r="I36" i="18"/>
  <c r="G36" i="18"/>
  <c r="F36" i="18"/>
  <c r="H36" i="18" s="1"/>
  <c r="B36" i="18"/>
  <c r="C36" i="18" s="1"/>
  <c r="AK35" i="18"/>
  <c r="AL35" i="18" s="1"/>
  <c r="D70" i="19" s="1"/>
  <c r="J106" i="19" s="1"/>
  <c r="AJ35" i="18"/>
  <c r="AI35" i="18"/>
  <c r="AG35" i="18"/>
  <c r="AE35" i="18"/>
  <c r="AB35" i="18"/>
  <c r="X35" i="18"/>
  <c r="O35" i="18"/>
  <c r="I35" i="18"/>
  <c r="G35" i="18"/>
  <c r="L35" i="18" s="1"/>
  <c r="F35" i="18"/>
  <c r="H35" i="18" s="1"/>
  <c r="B35" i="18"/>
  <c r="C35" i="18" s="1"/>
  <c r="AK34" i="18"/>
  <c r="AJ34" i="18"/>
  <c r="AI34" i="18"/>
  <c r="AG34" i="18"/>
  <c r="AE34" i="18"/>
  <c r="AB34" i="18"/>
  <c r="X34" i="18"/>
  <c r="O34" i="18"/>
  <c r="L34" i="18"/>
  <c r="U34" i="18" s="1"/>
  <c r="K34" i="18"/>
  <c r="I34" i="18"/>
  <c r="G34" i="18"/>
  <c r="H34" i="18" s="1"/>
  <c r="F34" i="18"/>
  <c r="B34" i="18"/>
  <c r="C34" i="18" s="1"/>
  <c r="AK33" i="18"/>
  <c r="AJ33" i="18"/>
  <c r="AI33" i="18"/>
  <c r="AG33" i="18"/>
  <c r="AE33" i="18"/>
  <c r="AB33" i="18"/>
  <c r="X33" i="18"/>
  <c r="U33" i="18"/>
  <c r="O33" i="18"/>
  <c r="L33" i="18"/>
  <c r="K33" i="18"/>
  <c r="I33" i="18"/>
  <c r="H33" i="18"/>
  <c r="G33" i="18"/>
  <c r="F33" i="18"/>
  <c r="B33" i="18"/>
  <c r="C33" i="18" s="1"/>
  <c r="AK32" i="18"/>
  <c r="AJ32" i="18"/>
  <c r="AL32" i="18" s="1"/>
  <c r="D67" i="19" s="1"/>
  <c r="AI32" i="18"/>
  <c r="AG32" i="18"/>
  <c r="AE32" i="18"/>
  <c r="AB32" i="18"/>
  <c r="X32" i="18"/>
  <c r="O32" i="18"/>
  <c r="L32" i="18"/>
  <c r="U32" i="18" s="1"/>
  <c r="K32" i="18"/>
  <c r="I32" i="18"/>
  <c r="H32" i="18"/>
  <c r="G32" i="18"/>
  <c r="F32" i="18"/>
  <c r="B32" i="18"/>
  <c r="C32" i="18" s="1"/>
  <c r="AK31" i="18"/>
  <c r="AL31" i="18" s="1"/>
  <c r="D66" i="19" s="1"/>
  <c r="AJ31" i="18"/>
  <c r="AI31" i="18"/>
  <c r="AG31" i="18"/>
  <c r="AE31" i="18"/>
  <c r="AB31" i="18"/>
  <c r="X31" i="18"/>
  <c r="O31" i="18"/>
  <c r="K31" i="18"/>
  <c r="I31" i="18"/>
  <c r="G31" i="18"/>
  <c r="L31" i="18" s="1"/>
  <c r="U31" i="18" s="1"/>
  <c r="F31" i="18"/>
  <c r="H31" i="18" s="1"/>
  <c r="B31" i="18"/>
  <c r="C31" i="18" s="1"/>
  <c r="AK30" i="18"/>
  <c r="AJ30" i="18"/>
  <c r="AI30" i="18"/>
  <c r="AG30" i="18"/>
  <c r="AE30" i="18"/>
  <c r="AB30" i="18"/>
  <c r="X30" i="18"/>
  <c r="U30" i="18"/>
  <c r="O30" i="18"/>
  <c r="K30" i="18"/>
  <c r="I30" i="18"/>
  <c r="H30" i="18"/>
  <c r="G30" i="18"/>
  <c r="L30" i="18" s="1"/>
  <c r="F30" i="18"/>
  <c r="B30" i="18"/>
  <c r="C30" i="18" s="1"/>
  <c r="AK29" i="18"/>
  <c r="AJ29" i="18"/>
  <c r="AI29" i="18"/>
  <c r="AL29" i="18" s="1"/>
  <c r="D64" i="19" s="1"/>
  <c r="J100" i="19" s="1"/>
  <c r="AG29" i="18"/>
  <c r="AE29" i="18"/>
  <c r="AB29" i="18"/>
  <c r="X29" i="18"/>
  <c r="U29" i="18"/>
  <c r="P29" i="18"/>
  <c r="O29" i="18"/>
  <c r="L29" i="18"/>
  <c r="K29" i="18"/>
  <c r="I29" i="18"/>
  <c r="G29" i="18"/>
  <c r="F29" i="18"/>
  <c r="H29" i="18" s="1"/>
  <c r="B29" i="18"/>
  <c r="C29" i="18" s="1"/>
  <c r="AK28" i="18"/>
  <c r="AJ28" i="18"/>
  <c r="AI28" i="18"/>
  <c r="AL28" i="18" s="1"/>
  <c r="D63" i="19" s="1"/>
  <c r="AG28" i="18"/>
  <c r="AE28" i="18"/>
  <c r="AB28" i="18"/>
  <c r="X28" i="18"/>
  <c r="O28" i="18"/>
  <c r="L28" i="18"/>
  <c r="U28" i="18" s="1"/>
  <c r="K28" i="18"/>
  <c r="I28" i="18"/>
  <c r="G28" i="18"/>
  <c r="F28" i="18"/>
  <c r="H28" i="18" s="1"/>
  <c r="B28" i="18"/>
  <c r="C28" i="18" s="1"/>
  <c r="AL27" i="18"/>
  <c r="D62" i="19" s="1"/>
  <c r="AK27" i="18"/>
  <c r="AJ27" i="18"/>
  <c r="AI27" i="18"/>
  <c r="AG27" i="18"/>
  <c r="AE27" i="18"/>
  <c r="AB27" i="18"/>
  <c r="X27" i="18"/>
  <c r="P27" i="18"/>
  <c r="Q27" i="18" s="1"/>
  <c r="O27" i="18"/>
  <c r="K27" i="18"/>
  <c r="I27" i="18"/>
  <c r="G27" i="18"/>
  <c r="L27" i="18" s="1"/>
  <c r="U27" i="18" s="1"/>
  <c r="F27" i="18"/>
  <c r="H27" i="18" s="1"/>
  <c r="B27" i="18"/>
  <c r="C27" i="18" s="1"/>
  <c r="AK26" i="18"/>
  <c r="AJ26" i="18"/>
  <c r="AI26" i="18"/>
  <c r="AG26" i="18"/>
  <c r="AE26" i="18"/>
  <c r="AB26" i="18"/>
  <c r="X26" i="18"/>
  <c r="O26" i="18"/>
  <c r="K26" i="18"/>
  <c r="I26" i="18"/>
  <c r="H26" i="18"/>
  <c r="G26" i="18"/>
  <c r="L26" i="18" s="1"/>
  <c r="U26" i="18" s="1"/>
  <c r="F26" i="18"/>
  <c r="B26" i="18"/>
  <c r="C26" i="18" s="1"/>
  <c r="AK25" i="18"/>
  <c r="AJ25" i="18"/>
  <c r="AI25" i="18"/>
  <c r="AL25" i="18" s="1"/>
  <c r="D60" i="19" s="1"/>
  <c r="J96" i="19" s="1"/>
  <c r="AG25" i="18"/>
  <c r="AE25" i="18"/>
  <c r="AB25" i="18"/>
  <c r="X25" i="18"/>
  <c r="U25" i="18"/>
  <c r="O25" i="18"/>
  <c r="L25" i="18"/>
  <c r="K25" i="18"/>
  <c r="I25" i="18"/>
  <c r="H25" i="18"/>
  <c r="G25" i="18"/>
  <c r="F25" i="18"/>
  <c r="B25" i="18"/>
  <c r="C25" i="18" s="1"/>
  <c r="AK24" i="18"/>
  <c r="AL24" i="18" s="1"/>
  <c r="D59" i="19" s="1"/>
  <c r="AJ24" i="18"/>
  <c r="AI24" i="18"/>
  <c r="AG24" i="18"/>
  <c r="AE24" i="18"/>
  <c r="AB24" i="18"/>
  <c r="X24" i="18"/>
  <c r="O24" i="18"/>
  <c r="L24" i="18"/>
  <c r="U24" i="18" s="1"/>
  <c r="K24" i="18"/>
  <c r="I24" i="18"/>
  <c r="H24" i="18"/>
  <c r="G24" i="18"/>
  <c r="F24" i="18"/>
  <c r="B24" i="18"/>
  <c r="AL22" i="18"/>
  <c r="AK22" i="18"/>
  <c r="AJ22" i="18"/>
  <c r="AI22" i="18"/>
  <c r="AG22" i="18"/>
  <c r="AE22" i="18"/>
  <c r="AB22" i="18"/>
  <c r="X22" i="18"/>
  <c r="O22" i="18"/>
  <c r="K22" i="18"/>
  <c r="I22" i="18"/>
  <c r="P22" i="18" s="1"/>
  <c r="H22" i="18"/>
  <c r="G22" i="18"/>
  <c r="L22" i="18" s="1"/>
  <c r="U22" i="18" s="1"/>
  <c r="F22" i="18"/>
  <c r="B22" i="18"/>
  <c r="AK21" i="18"/>
  <c r="AJ21" i="18"/>
  <c r="AI21" i="18"/>
  <c r="AG21" i="18"/>
  <c r="AE21" i="18"/>
  <c r="AB21" i="18"/>
  <c r="X21" i="18"/>
  <c r="O21" i="18"/>
  <c r="K21" i="18"/>
  <c r="K123" i="18" s="1"/>
  <c r="I21" i="18"/>
  <c r="G21" i="18"/>
  <c r="L21" i="18" s="1"/>
  <c r="U21" i="18" s="1"/>
  <c r="F21" i="18"/>
  <c r="B21" i="18"/>
  <c r="C21" i="18" s="1"/>
  <c r="AK20" i="18"/>
  <c r="AJ20" i="18"/>
  <c r="AL20" i="18" s="1"/>
  <c r="AI20" i="18"/>
  <c r="AG20" i="18"/>
  <c r="AE20" i="18"/>
  <c r="AB20" i="18"/>
  <c r="X20" i="18"/>
  <c r="U20" i="18"/>
  <c r="O20" i="18"/>
  <c r="L20" i="18"/>
  <c r="K20" i="18"/>
  <c r="I20" i="18"/>
  <c r="G20" i="18"/>
  <c r="F20" i="18"/>
  <c r="H20" i="18" s="1"/>
  <c r="B20" i="18"/>
  <c r="C20" i="18" s="1"/>
  <c r="AK19" i="18"/>
  <c r="AJ19" i="18"/>
  <c r="AI19" i="18"/>
  <c r="AG19" i="18"/>
  <c r="AE19" i="18"/>
  <c r="AB19" i="18"/>
  <c r="AB121" i="18" s="1"/>
  <c r="X19" i="18"/>
  <c r="O19" i="18"/>
  <c r="K19" i="18"/>
  <c r="K121" i="18" s="1"/>
  <c r="I19" i="18"/>
  <c r="G19" i="18"/>
  <c r="L19" i="18" s="1"/>
  <c r="U19" i="18" s="1"/>
  <c r="F19" i="18"/>
  <c r="B19" i="18"/>
  <c r="C19" i="18" s="1"/>
  <c r="AL18" i="18"/>
  <c r="AK18" i="18"/>
  <c r="AJ18" i="18"/>
  <c r="AI18" i="18"/>
  <c r="AG18" i="18"/>
  <c r="AE18" i="18"/>
  <c r="AB18" i="18"/>
  <c r="X18" i="18"/>
  <c r="O18" i="18"/>
  <c r="K18" i="18"/>
  <c r="I18" i="18"/>
  <c r="G18" i="18"/>
  <c r="L18" i="18" s="1"/>
  <c r="U18" i="18" s="1"/>
  <c r="F18" i="18"/>
  <c r="H18" i="18" s="1"/>
  <c r="B18" i="18"/>
  <c r="C18" i="18" s="1"/>
  <c r="AK17" i="18"/>
  <c r="AK119" i="18" s="1"/>
  <c r="AJ17" i="18"/>
  <c r="AI17" i="18"/>
  <c r="AL17" i="18" s="1"/>
  <c r="AG17" i="18"/>
  <c r="AE17" i="18"/>
  <c r="AB17" i="18"/>
  <c r="X17" i="18"/>
  <c r="O17" i="18"/>
  <c r="L17" i="18"/>
  <c r="U17" i="18" s="1"/>
  <c r="K17" i="18"/>
  <c r="K119" i="18" s="1"/>
  <c r="I17" i="18"/>
  <c r="G17" i="18"/>
  <c r="H17" i="18" s="1"/>
  <c r="F17" i="18"/>
  <c r="B17" i="18"/>
  <c r="C17" i="18" s="1"/>
  <c r="AK16" i="18"/>
  <c r="AJ16" i="18"/>
  <c r="AI16" i="18"/>
  <c r="AL16" i="18" s="1"/>
  <c r="AG16" i="18"/>
  <c r="AE16" i="18"/>
  <c r="AB16" i="18"/>
  <c r="X16" i="18"/>
  <c r="U16" i="18"/>
  <c r="O16" i="18"/>
  <c r="L16" i="18"/>
  <c r="K16" i="18"/>
  <c r="I16" i="18"/>
  <c r="P16" i="18" s="1"/>
  <c r="H16" i="18"/>
  <c r="G16" i="18"/>
  <c r="F16" i="18"/>
  <c r="B16" i="18"/>
  <c r="AK15" i="18"/>
  <c r="AK117" i="18" s="1"/>
  <c r="AJ15" i="18"/>
  <c r="AI15" i="18"/>
  <c r="AG15" i="18"/>
  <c r="AE15" i="18"/>
  <c r="AB15" i="18"/>
  <c r="X15" i="18"/>
  <c r="O15" i="18"/>
  <c r="P15" i="18" s="1"/>
  <c r="L15" i="18"/>
  <c r="U15" i="18" s="1"/>
  <c r="K15" i="18"/>
  <c r="I15" i="18"/>
  <c r="H15" i="18"/>
  <c r="G15" i="18"/>
  <c r="F15" i="18"/>
  <c r="B15" i="18"/>
  <c r="AK14" i="18"/>
  <c r="AJ14" i="18"/>
  <c r="AI14" i="18"/>
  <c r="AG14" i="18"/>
  <c r="AE14" i="18"/>
  <c r="AB14" i="18"/>
  <c r="AB116" i="18" s="1"/>
  <c r="X14" i="18"/>
  <c r="O14" i="18"/>
  <c r="K14" i="18"/>
  <c r="I14" i="18"/>
  <c r="G14" i="18"/>
  <c r="L14" i="18" s="1"/>
  <c r="U14" i="18" s="1"/>
  <c r="F14" i="18"/>
  <c r="H14" i="18" s="1"/>
  <c r="B14" i="18"/>
  <c r="AK13" i="18"/>
  <c r="AK115" i="18" s="1"/>
  <c r="AJ13" i="18"/>
  <c r="AI13" i="18"/>
  <c r="AG13" i="18"/>
  <c r="AE13" i="18"/>
  <c r="AB13" i="18"/>
  <c r="X13" i="18"/>
  <c r="U13" i="18"/>
  <c r="O13" i="18"/>
  <c r="K13" i="18"/>
  <c r="I13" i="18"/>
  <c r="G13" i="18"/>
  <c r="L13" i="18" s="1"/>
  <c r="F13" i="18"/>
  <c r="H13" i="18" s="1"/>
  <c r="B13" i="18"/>
  <c r="AK12" i="18"/>
  <c r="AJ12" i="18"/>
  <c r="AI12" i="18"/>
  <c r="AL12" i="18" s="1"/>
  <c r="AG12" i="18"/>
  <c r="AE12" i="18"/>
  <c r="AB12" i="18"/>
  <c r="X12" i="18"/>
  <c r="O12" i="18"/>
  <c r="L12" i="18"/>
  <c r="U12" i="18" s="1"/>
  <c r="K12" i="18"/>
  <c r="I12" i="18"/>
  <c r="P12" i="18" s="1"/>
  <c r="G12" i="18"/>
  <c r="F12" i="18"/>
  <c r="H12" i="18" s="1"/>
  <c r="B12" i="18"/>
  <c r="AK11" i="18"/>
  <c r="AJ11" i="18"/>
  <c r="AI11" i="18"/>
  <c r="AG11" i="18"/>
  <c r="AE11" i="18"/>
  <c r="AB11" i="18"/>
  <c r="X11" i="18"/>
  <c r="O11" i="18"/>
  <c r="L11" i="18"/>
  <c r="U11" i="18" s="1"/>
  <c r="K11" i="18"/>
  <c r="I11" i="18"/>
  <c r="G11" i="18"/>
  <c r="F11" i="18"/>
  <c r="H11" i="18" s="1"/>
  <c r="B11" i="18"/>
  <c r="C11" i="18" s="1"/>
  <c r="AK10" i="18"/>
  <c r="AK112" i="18" s="1"/>
  <c r="AJ10" i="18"/>
  <c r="AI10" i="18"/>
  <c r="AG10" i="18"/>
  <c r="AE10" i="18"/>
  <c r="AB10" i="18"/>
  <c r="AB112" i="18" s="1"/>
  <c r="X10" i="18"/>
  <c r="U10" i="18"/>
  <c r="P10" i="18"/>
  <c r="O10" i="18"/>
  <c r="K10" i="18"/>
  <c r="I10" i="18"/>
  <c r="G10" i="18"/>
  <c r="L10" i="18" s="1"/>
  <c r="F10" i="18"/>
  <c r="H10" i="18" s="1"/>
  <c r="B10" i="18"/>
  <c r="C10" i="18" s="1"/>
  <c r="AK9" i="18"/>
  <c r="AJ9" i="18"/>
  <c r="AI9" i="18"/>
  <c r="AG9" i="18"/>
  <c r="AE9" i="18"/>
  <c r="AB9" i="18"/>
  <c r="X9" i="18"/>
  <c r="O9" i="18"/>
  <c r="L9" i="18"/>
  <c r="U9" i="18" s="1"/>
  <c r="K9" i="18"/>
  <c r="I9" i="18"/>
  <c r="H9" i="18"/>
  <c r="G9" i="18"/>
  <c r="F9" i="18"/>
  <c r="B9" i="18"/>
  <c r="C9" i="18" s="1"/>
  <c r="AK8" i="18"/>
  <c r="AJ8" i="18"/>
  <c r="AI8" i="18"/>
  <c r="AL8" i="18" s="1"/>
  <c r="AG8" i="18"/>
  <c r="AE8" i="18"/>
  <c r="AB8" i="18"/>
  <c r="X8" i="18"/>
  <c r="U8" i="18"/>
  <c r="O8" i="18"/>
  <c r="L8" i="18"/>
  <c r="K8" i="18"/>
  <c r="I8" i="18"/>
  <c r="H8" i="18"/>
  <c r="G8" i="18"/>
  <c r="F8" i="18"/>
  <c r="B8" i="18"/>
  <c r="C8" i="18" s="1"/>
  <c r="AL7" i="18"/>
  <c r="AK7" i="18"/>
  <c r="AJ7" i="18"/>
  <c r="AI7" i="18"/>
  <c r="AG7" i="18"/>
  <c r="AE7" i="18"/>
  <c r="AB7" i="18"/>
  <c r="AB109" i="18" s="1"/>
  <c r="X7" i="18"/>
  <c r="O7" i="18"/>
  <c r="L7" i="18"/>
  <c r="U7" i="18" s="1"/>
  <c r="K7" i="18"/>
  <c r="K109" i="18" s="1"/>
  <c r="I7" i="18"/>
  <c r="H7" i="18"/>
  <c r="G7" i="18"/>
  <c r="F7" i="18"/>
  <c r="B7" i="18"/>
  <c r="C7" i="18" s="1"/>
  <c r="E81" i="17"/>
  <c r="D81" i="17"/>
  <c r="C81" i="17"/>
  <c r="B81" i="17"/>
  <c r="E80" i="17"/>
  <c r="D80" i="17"/>
  <c r="C80" i="17"/>
  <c r="B80" i="17"/>
  <c r="E79" i="17"/>
  <c r="D79" i="17"/>
  <c r="C79" i="17"/>
  <c r="B79" i="17"/>
  <c r="E78" i="17"/>
  <c r="D78" i="17"/>
  <c r="B78" i="17"/>
  <c r="G55" i="17"/>
  <c r="E55" i="17"/>
  <c r="C55" i="17"/>
  <c r="J54" i="17"/>
  <c r="I54" i="17"/>
  <c r="G54" i="17"/>
  <c r="E54" i="17"/>
  <c r="C54" i="17"/>
  <c r="G53" i="17"/>
  <c r="E53" i="17"/>
  <c r="C53" i="17"/>
  <c r="J52" i="17"/>
  <c r="G52" i="17"/>
  <c r="E52" i="17"/>
  <c r="C52" i="17"/>
  <c r="E51" i="17"/>
  <c r="C51" i="17"/>
  <c r="J50" i="17"/>
  <c r="G50" i="17"/>
  <c r="E50" i="17"/>
  <c r="C50" i="17"/>
  <c r="G49" i="17"/>
  <c r="E49" i="17"/>
  <c r="C49" i="17"/>
  <c r="G48" i="17"/>
  <c r="E48" i="17"/>
  <c r="C48" i="17"/>
  <c r="J47" i="17"/>
  <c r="G47" i="17"/>
  <c r="E47" i="17"/>
  <c r="C47" i="17"/>
  <c r="J46" i="17"/>
  <c r="G46" i="17"/>
  <c r="E46" i="17"/>
  <c r="C46" i="17"/>
  <c r="J45" i="17"/>
  <c r="G45" i="17"/>
  <c r="E45" i="17"/>
  <c r="C45" i="17"/>
  <c r="J44" i="17"/>
  <c r="G44" i="17"/>
  <c r="E44" i="17"/>
  <c r="C44" i="17"/>
  <c r="J43" i="17"/>
  <c r="G43" i="17"/>
  <c r="E43" i="17"/>
  <c r="C43" i="17"/>
  <c r="J42" i="17"/>
  <c r="G42" i="17"/>
  <c r="E42" i="17"/>
  <c r="C42" i="17"/>
  <c r="G41" i="17"/>
  <c r="E41" i="17"/>
  <c r="C41" i="17"/>
  <c r="J40" i="17"/>
  <c r="G40" i="17"/>
  <c r="E40" i="17"/>
  <c r="C40" i="17"/>
  <c r="B31" i="15"/>
  <c r="A31" i="15"/>
  <c r="B27" i="15"/>
  <c r="A27" i="15"/>
  <c r="B23" i="15"/>
  <c r="A23" i="15"/>
  <c r="B19" i="15"/>
  <c r="A19" i="15"/>
  <c r="B15" i="15"/>
  <c r="A15" i="15"/>
  <c r="B11" i="15"/>
  <c r="A11" i="15"/>
  <c r="B7" i="15"/>
  <c r="A7" i="15"/>
  <c r="B3" i="15"/>
  <c r="A3" i="15"/>
  <c r="D242" i="14"/>
  <c r="D241" i="14" s="1"/>
  <c r="D232" i="14"/>
  <c r="D231" i="14"/>
  <c r="D224" i="14"/>
  <c r="D223" i="14" s="1"/>
  <c r="D216" i="14"/>
  <c r="D215" i="14"/>
  <c r="D204" i="14"/>
  <c r="D203" i="14" s="1"/>
  <c r="J114" i="11"/>
  <c r="I141" i="14"/>
  <c r="G141" i="14"/>
  <c r="E141" i="14"/>
  <c r="I140" i="14"/>
  <c r="G140" i="14"/>
  <c r="E140" i="14"/>
  <c r="I128" i="14"/>
  <c r="G128" i="14"/>
  <c r="E128" i="14"/>
  <c r="I127" i="14"/>
  <c r="G127" i="14"/>
  <c r="E127" i="14"/>
  <c r="I115" i="14"/>
  <c r="G115" i="14"/>
  <c r="E115" i="14"/>
  <c r="I114" i="14"/>
  <c r="G114" i="14"/>
  <c r="E114" i="14"/>
  <c r="J75" i="11"/>
  <c r="I102" i="14"/>
  <c r="G102" i="14"/>
  <c r="E102" i="14"/>
  <c r="I101" i="14"/>
  <c r="G101" i="14"/>
  <c r="E101" i="14"/>
  <c r="J62" i="11"/>
  <c r="K90" i="14"/>
  <c r="I89" i="14"/>
  <c r="G89" i="14"/>
  <c r="E89" i="14"/>
  <c r="I88" i="14"/>
  <c r="G88" i="14"/>
  <c r="E88" i="14"/>
  <c r="I76" i="14"/>
  <c r="G76" i="14"/>
  <c r="E76" i="14"/>
  <c r="I75" i="14"/>
  <c r="G75" i="14"/>
  <c r="E75" i="14"/>
  <c r="I63" i="14"/>
  <c r="G63" i="14"/>
  <c r="E63" i="14"/>
  <c r="I62" i="14"/>
  <c r="G62" i="14"/>
  <c r="E62" i="14"/>
  <c r="I50" i="14"/>
  <c r="G50" i="14"/>
  <c r="E50" i="14"/>
  <c r="G49" i="14"/>
  <c r="E49" i="14"/>
  <c r="L9" i="14"/>
  <c r="L8" i="14"/>
  <c r="K8" i="14"/>
  <c r="L7" i="14"/>
  <c r="K7" i="14"/>
  <c r="L6" i="14"/>
  <c r="B38" i="11" l="1"/>
  <c r="B35" i="11"/>
  <c r="I48" i="14"/>
  <c r="K49" i="14"/>
  <c r="J61" i="11"/>
  <c r="J23" i="11"/>
  <c r="K102" i="14"/>
  <c r="J73" i="11" s="1"/>
  <c r="K88" i="14"/>
  <c r="K109" i="14"/>
  <c r="J80" i="11" s="1"/>
  <c r="J78" i="17"/>
  <c r="L98" i="19"/>
  <c r="BR23" i="25"/>
  <c r="BI23" i="25"/>
  <c r="E67" i="14"/>
  <c r="M109" i="19"/>
  <c r="G132" i="14"/>
  <c r="J102" i="19"/>
  <c r="CA49" i="25"/>
  <c r="AZ49" i="25"/>
  <c r="P49" i="25"/>
  <c r="J110" i="19"/>
  <c r="P101" i="25"/>
  <c r="CA101" i="25"/>
  <c r="AZ101" i="25"/>
  <c r="L109" i="19"/>
  <c r="BR88" i="25"/>
  <c r="BI88" i="25"/>
  <c r="E132" i="14"/>
  <c r="L108" i="19"/>
  <c r="BR75" i="25"/>
  <c r="BI75" i="25"/>
  <c r="E119" i="14"/>
  <c r="N98" i="19"/>
  <c r="I67" i="14"/>
  <c r="M108" i="19"/>
  <c r="G119" i="14"/>
  <c r="BR101" i="25"/>
  <c r="BI101" i="25"/>
  <c r="AB110" i="18"/>
  <c r="AK114" i="18"/>
  <c r="K118" i="18"/>
  <c r="AB120" i="18"/>
  <c r="AL75" i="18"/>
  <c r="G59" i="19" s="1"/>
  <c r="AL77" i="18"/>
  <c r="G61" i="19" s="1"/>
  <c r="M97" i="19" s="1"/>
  <c r="BR52" i="25"/>
  <c r="BI52" i="25"/>
  <c r="BI104" i="25"/>
  <c r="BR104" i="25"/>
  <c r="C64" i="19"/>
  <c r="I100" i="19" s="1"/>
  <c r="Q88" i="18"/>
  <c r="Q95" i="18"/>
  <c r="CJ78" i="25"/>
  <c r="AQ78" i="25"/>
  <c r="G78" i="25"/>
  <c r="L93" i="11" s="1"/>
  <c r="Q64" i="18"/>
  <c r="AB111" i="18"/>
  <c r="AK123" i="18"/>
  <c r="K117" i="18"/>
  <c r="C72" i="19"/>
  <c r="Q25" i="18"/>
  <c r="AL9" i="18"/>
  <c r="AK113" i="18"/>
  <c r="P14" i="18"/>
  <c r="AK122" i="18"/>
  <c r="P25" i="18"/>
  <c r="AL33" i="18"/>
  <c r="D68" i="19" s="1"/>
  <c r="J104" i="19" s="1"/>
  <c r="CA78" i="25"/>
  <c r="AZ78" i="25"/>
  <c r="P78" i="25"/>
  <c r="P104" i="25"/>
  <c r="CA104" i="25"/>
  <c r="AZ104" i="25"/>
  <c r="K116" i="18"/>
  <c r="Q15" i="18"/>
  <c r="AB119" i="18"/>
  <c r="AK121" i="18"/>
  <c r="J103" i="19"/>
  <c r="CA62" i="25"/>
  <c r="AZ62" i="25"/>
  <c r="P62" i="25"/>
  <c r="G13" i="25"/>
  <c r="CJ13" i="25"/>
  <c r="AQ13" i="25"/>
  <c r="G65" i="25"/>
  <c r="CJ65" i="25"/>
  <c r="AQ65" i="25"/>
  <c r="CA52" i="25"/>
  <c r="AZ52" i="25"/>
  <c r="P52" i="25"/>
  <c r="AK109" i="18"/>
  <c r="AK111" i="18"/>
  <c r="AL10" i="18"/>
  <c r="P13" i="18"/>
  <c r="AL55" i="18"/>
  <c r="E73" i="19" s="1"/>
  <c r="K109" i="19" s="1"/>
  <c r="Q71" i="18"/>
  <c r="P78" i="18"/>
  <c r="CA13" i="25"/>
  <c r="AZ13" i="25"/>
  <c r="P13" i="25"/>
  <c r="P65" i="25"/>
  <c r="CA65" i="25"/>
  <c r="AZ65" i="25"/>
  <c r="BR78" i="25"/>
  <c r="BI78" i="25"/>
  <c r="BR39" i="25"/>
  <c r="BI39" i="25"/>
  <c r="C60" i="19"/>
  <c r="I96" i="19" s="1"/>
  <c r="C59" i="19"/>
  <c r="AK110" i="18"/>
  <c r="K115" i="18"/>
  <c r="AB117" i="18"/>
  <c r="AB118" i="18"/>
  <c r="AK120" i="18"/>
  <c r="K124" i="18"/>
  <c r="AL30" i="18"/>
  <c r="D65" i="19" s="1"/>
  <c r="J101" i="19" s="1"/>
  <c r="P35" i="18"/>
  <c r="Q35" i="18" s="1"/>
  <c r="AL43" i="18"/>
  <c r="E61" i="19" s="1"/>
  <c r="K97" i="19" s="1"/>
  <c r="P48" i="18"/>
  <c r="Q48" i="18" s="1"/>
  <c r="CJ26" i="25"/>
  <c r="AQ26" i="25"/>
  <c r="G26" i="25"/>
  <c r="J109" i="19"/>
  <c r="P88" i="25"/>
  <c r="CA88" i="25"/>
  <c r="AZ88" i="25"/>
  <c r="BR13" i="25"/>
  <c r="BI13" i="25"/>
  <c r="CA26" i="25"/>
  <c r="AZ26" i="25"/>
  <c r="P26" i="25"/>
  <c r="BR65" i="25"/>
  <c r="BI65" i="25"/>
  <c r="K83" i="14"/>
  <c r="J54" i="11" s="1"/>
  <c r="G51" i="17"/>
  <c r="K114" i="18"/>
  <c r="AL41" i="18"/>
  <c r="E59" i="19" s="1"/>
  <c r="K95" i="19" s="1"/>
  <c r="P102" i="18"/>
  <c r="Q102" i="18" s="1"/>
  <c r="Q105" i="18"/>
  <c r="G91" i="25"/>
  <c r="CJ91" i="25"/>
  <c r="AQ91" i="25"/>
  <c r="C70" i="19"/>
  <c r="I106" i="19" s="1"/>
  <c r="AL120" i="18"/>
  <c r="C68" i="19"/>
  <c r="I104" i="19" s="1"/>
  <c r="P20" i="18"/>
  <c r="K122" i="18"/>
  <c r="AB124" i="18"/>
  <c r="BR62" i="25"/>
  <c r="BI62" i="25"/>
  <c r="BR26" i="25"/>
  <c r="BI26" i="25"/>
  <c r="P91" i="25"/>
  <c r="CA91" i="25"/>
  <c r="AZ91" i="25"/>
  <c r="K112" i="18"/>
  <c r="K113" i="18"/>
  <c r="AB115" i="18"/>
  <c r="AL15" i="18"/>
  <c r="AL26" i="18"/>
  <c r="D61" i="19" s="1"/>
  <c r="J97" i="19" s="1"/>
  <c r="AL37" i="18"/>
  <c r="D72" i="19" s="1"/>
  <c r="Q44" i="18"/>
  <c r="Q69" i="18"/>
  <c r="T120" i="18"/>
  <c r="J99" i="19"/>
  <c r="P36" i="25"/>
  <c r="CA36" i="25"/>
  <c r="AZ36" i="25"/>
  <c r="G67" i="14"/>
  <c r="P8" i="18"/>
  <c r="Q8" i="18" s="1"/>
  <c r="Q110" i="18" s="1"/>
  <c r="AK118" i="18"/>
  <c r="AB123" i="18"/>
  <c r="J98" i="19"/>
  <c r="CA23" i="25"/>
  <c r="AZ23" i="25"/>
  <c r="P23" i="25"/>
  <c r="P58" i="18"/>
  <c r="P59" i="18"/>
  <c r="BR91" i="25"/>
  <c r="BI91" i="25"/>
  <c r="Q10" i="18"/>
  <c r="P112" i="18"/>
  <c r="T110" i="18"/>
  <c r="CJ39" i="25"/>
  <c r="AQ39" i="25"/>
  <c r="G39" i="25"/>
  <c r="C69" i="19"/>
  <c r="I105" i="19" s="1"/>
  <c r="AB114" i="18"/>
  <c r="AL13" i="18"/>
  <c r="AL50" i="18"/>
  <c r="E68" i="19" s="1"/>
  <c r="K104" i="19" s="1"/>
  <c r="Q66" i="18"/>
  <c r="CA39" i="25"/>
  <c r="AZ39" i="25"/>
  <c r="P39" i="25"/>
  <c r="C74" i="19"/>
  <c r="K110" i="18"/>
  <c r="K111" i="18"/>
  <c r="AL14" i="18"/>
  <c r="AK116" i="18"/>
  <c r="AB113" i="18"/>
  <c r="K120" i="18"/>
  <c r="AB122" i="18"/>
  <c r="AL21" i="18"/>
  <c r="AK124" i="18"/>
  <c r="J95" i="19"/>
  <c r="CA10" i="25"/>
  <c r="AZ10" i="25"/>
  <c r="P10" i="25"/>
  <c r="P30" i="18"/>
  <c r="P31" i="18"/>
  <c r="Q31" i="18" s="1"/>
  <c r="P32" i="18"/>
  <c r="Q32" i="18" s="1"/>
  <c r="P39" i="18"/>
  <c r="Q39" i="18" s="1"/>
  <c r="P42" i="18"/>
  <c r="Q42" i="18" s="1"/>
  <c r="P43" i="18"/>
  <c r="Q43" i="18" s="1"/>
  <c r="AL62" i="18"/>
  <c r="F63" i="19" s="1"/>
  <c r="AL107" i="18"/>
  <c r="H74" i="19" s="1"/>
  <c r="AQ52" i="25"/>
  <c r="CJ52" i="25"/>
  <c r="G52" i="25"/>
  <c r="G104" i="25"/>
  <c r="CJ104" i="25"/>
  <c r="AQ104" i="25"/>
  <c r="K62" i="14"/>
  <c r="J33" i="11" s="1"/>
  <c r="K141" i="14"/>
  <c r="J112" i="11" s="1"/>
  <c r="K50" i="14"/>
  <c r="J21" i="11" s="1"/>
  <c r="K115" i="14"/>
  <c r="J86" i="11" s="1"/>
  <c r="K70" i="14"/>
  <c r="J41" i="11" s="1"/>
  <c r="K89" i="14"/>
  <c r="J60" i="11" s="1"/>
  <c r="K63" i="14"/>
  <c r="J34" i="11" s="1"/>
  <c r="K128" i="14"/>
  <c r="J99" i="11" s="1"/>
  <c r="K135" i="14"/>
  <c r="J106" i="11" s="1"/>
  <c r="K127" i="14"/>
  <c r="K76" i="14"/>
  <c r="J47" i="11" s="1"/>
  <c r="J67" i="11"/>
  <c r="K148" i="14"/>
  <c r="J119" i="11" s="1"/>
  <c r="K64" i="14"/>
  <c r="K77" i="14"/>
  <c r="J101" i="11"/>
  <c r="J41" i="17"/>
  <c r="J49" i="17"/>
  <c r="I42" i="17"/>
  <c r="M42" i="17" s="1"/>
  <c r="C100" i="18"/>
  <c r="C97" i="18"/>
  <c r="AH97" i="18" s="1"/>
  <c r="H82" i="19" s="1"/>
  <c r="H100" i="19" s="1"/>
  <c r="C96" i="18"/>
  <c r="C95" i="18"/>
  <c r="C94" i="18"/>
  <c r="Y89" i="18"/>
  <c r="G37" i="19" s="1"/>
  <c r="S109" i="19" s="1"/>
  <c r="Y82" i="18"/>
  <c r="G30" i="19" s="1"/>
  <c r="Y76" i="18"/>
  <c r="G24" i="19" s="1"/>
  <c r="S96" i="19" s="1"/>
  <c r="Y72" i="18"/>
  <c r="Y61" i="18"/>
  <c r="Y66" i="18"/>
  <c r="Y52" i="18"/>
  <c r="E34" i="19" s="1"/>
  <c r="Q106" i="19" s="1"/>
  <c r="Y9" i="18"/>
  <c r="Y32" i="18"/>
  <c r="D31" i="19" s="1"/>
  <c r="Y63" i="18"/>
  <c r="AH103" i="18"/>
  <c r="H88" i="19" s="1"/>
  <c r="H106" i="19" s="1"/>
  <c r="Y41" i="18"/>
  <c r="E23" i="19" s="1"/>
  <c r="Y38" i="18"/>
  <c r="D37" i="19" s="1"/>
  <c r="O95" i="19"/>
  <c r="I51" i="17"/>
  <c r="M51" i="17" s="1"/>
  <c r="K116" i="14"/>
  <c r="J51" i="17"/>
  <c r="J88" i="11"/>
  <c r="I41" i="17"/>
  <c r="M41" i="17" s="1"/>
  <c r="K129" i="14"/>
  <c r="I44" i="17"/>
  <c r="M44" i="17" s="1"/>
  <c r="I48" i="17"/>
  <c r="M48" i="17" s="1"/>
  <c r="I55" i="17"/>
  <c r="M55" i="17" s="1"/>
  <c r="J48" i="17"/>
  <c r="J55" i="17"/>
  <c r="K103" i="14"/>
  <c r="I45" i="17"/>
  <c r="M45" i="17" s="1"/>
  <c r="I52" i="17"/>
  <c r="M52" i="17" s="1"/>
  <c r="I46" i="17"/>
  <c r="M46" i="17" s="1"/>
  <c r="J53" i="17"/>
  <c r="I47" i="17"/>
  <c r="K97" i="14" s="1"/>
  <c r="I53" i="17"/>
  <c r="M53" i="17" s="1"/>
  <c r="I40" i="17"/>
  <c r="M40" i="17" s="1"/>
  <c r="I50" i="17"/>
  <c r="M50" i="17" s="1"/>
  <c r="F3" i="15"/>
  <c r="F15" i="15"/>
  <c r="I49" i="17"/>
  <c r="M49" i="17" s="1"/>
  <c r="K142" i="14"/>
  <c r="B37" i="11"/>
  <c r="B36" i="11"/>
  <c r="M54" i="17"/>
  <c r="Q17" i="18"/>
  <c r="Y21" i="18"/>
  <c r="P26" i="18"/>
  <c r="K101" i="14"/>
  <c r="K57" i="14"/>
  <c r="J28" i="11" s="1"/>
  <c r="L99" i="19"/>
  <c r="E80" i="14"/>
  <c r="K75" i="14"/>
  <c r="L103" i="19"/>
  <c r="E106" i="14"/>
  <c r="N99" i="19"/>
  <c r="I80" i="14"/>
  <c r="M95" i="19"/>
  <c r="G54" i="14"/>
  <c r="Y99" i="18"/>
  <c r="H30" i="19" s="1"/>
  <c r="Y98" i="18"/>
  <c r="H29" i="19" s="1"/>
  <c r="T101" i="19" s="1"/>
  <c r="Y92" i="18"/>
  <c r="H23" i="19" s="1"/>
  <c r="Y101" i="18"/>
  <c r="H32" i="19" s="1"/>
  <c r="T104" i="19" s="1"/>
  <c r="Q14" i="18"/>
  <c r="P62" i="18"/>
  <c r="Q22" i="18"/>
  <c r="K140" i="14"/>
  <c r="Y18" i="18"/>
  <c r="Q26" i="18"/>
  <c r="N109" i="19"/>
  <c r="I132" i="14"/>
  <c r="P19" i="18"/>
  <c r="Q29" i="18"/>
  <c r="Y104" i="18"/>
  <c r="H35" i="19" s="1"/>
  <c r="T107" i="19" s="1"/>
  <c r="Y96" i="18"/>
  <c r="H27" i="19" s="1"/>
  <c r="Y87" i="18"/>
  <c r="G35" i="19" s="1"/>
  <c r="S107" i="19" s="1"/>
  <c r="Y79" i="18"/>
  <c r="G27" i="19" s="1"/>
  <c r="Y70" i="18"/>
  <c r="Y62" i="18"/>
  <c r="AH92" i="18"/>
  <c r="H77" i="19" s="1"/>
  <c r="Y102" i="18"/>
  <c r="H33" i="19" s="1"/>
  <c r="T105" i="19" s="1"/>
  <c r="Y94" i="18"/>
  <c r="H25" i="19" s="1"/>
  <c r="T97" i="19" s="1"/>
  <c r="Y85" i="18"/>
  <c r="G33" i="19" s="1"/>
  <c r="S105" i="19" s="1"/>
  <c r="Y77" i="18"/>
  <c r="G25" i="19" s="1"/>
  <c r="S97" i="19" s="1"/>
  <c r="Y68" i="18"/>
  <c r="Y60" i="18"/>
  <c r="Y105" i="18"/>
  <c r="H36" i="19" s="1"/>
  <c r="Y97" i="18"/>
  <c r="H28" i="19" s="1"/>
  <c r="T100" i="19" s="1"/>
  <c r="Y88" i="18"/>
  <c r="G36" i="19" s="1"/>
  <c r="Y80" i="18"/>
  <c r="G28" i="19" s="1"/>
  <c r="S100" i="19" s="1"/>
  <c r="Y71" i="18"/>
  <c r="Y100" i="18"/>
  <c r="H31" i="19" s="1"/>
  <c r="AH101" i="18"/>
  <c r="H86" i="19" s="1"/>
  <c r="H104" i="19" s="1"/>
  <c r="AH93" i="18"/>
  <c r="H78" i="19" s="1"/>
  <c r="H96" i="19" s="1"/>
  <c r="Y53" i="18"/>
  <c r="E35" i="19" s="1"/>
  <c r="Q107" i="19" s="1"/>
  <c r="Y45" i="18"/>
  <c r="E27" i="19" s="1"/>
  <c r="Y36" i="18"/>
  <c r="D35" i="19" s="1"/>
  <c r="P107" i="19" s="1"/>
  <c r="Y28" i="18"/>
  <c r="D27" i="19" s="1"/>
  <c r="Y19" i="18"/>
  <c r="Y11" i="18"/>
  <c r="Y106" i="18"/>
  <c r="H37" i="19" s="1"/>
  <c r="Y64" i="18"/>
  <c r="Y48" i="18"/>
  <c r="E30" i="19" s="1"/>
  <c r="Y39" i="18"/>
  <c r="D38" i="19" s="1"/>
  <c r="Y31" i="18"/>
  <c r="D30" i="19" s="1"/>
  <c r="Y22" i="18"/>
  <c r="Y14" i="18"/>
  <c r="Y93" i="18"/>
  <c r="H24" i="19" s="1"/>
  <c r="T96" i="19" s="1"/>
  <c r="Y59" i="18"/>
  <c r="Y56" i="18"/>
  <c r="E38" i="19" s="1"/>
  <c r="Y46" i="18"/>
  <c r="E28" i="19" s="1"/>
  <c r="Q100" i="19" s="1"/>
  <c r="Y37" i="18"/>
  <c r="D36" i="19" s="1"/>
  <c r="Y29" i="18"/>
  <c r="D28" i="19" s="1"/>
  <c r="P100" i="19" s="1"/>
  <c r="Y20" i="18"/>
  <c r="Y12" i="18"/>
  <c r="Y84" i="18"/>
  <c r="G32" i="19" s="1"/>
  <c r="S104" i="19" s="1"/>
  <c r="Y54" i="18"/>
  <c r="E36" i="19" s="1"/>
  <c r="Y107" i="18"/>
  <c r="H38" i="19" s="1"/>
  <c r="Y83" i="18"/>
  <c r="G31" i="19" s="1"/>
  <c r="Y67" i="18"/>
  <c r="Y75" i="18"/>
  <c r="G23" i="19" s="1"/>
  <c r="Y58" i="18"/>
  <c r="F23" i="19" s="1"/>
  <c r="Y50" i="18"/>
  <c r="E32" i="19" s="1"/>
  <c r="Q104" i="19" s="1"/>
  <c r="Y42" i="18"/>
  <c r="E24" i="19" s="1"/>
  <c r="Q96" i="19" s="1"/>
  <c r="Y33" i="18"/>
  <c r="D32" i="19" s="1"/>
  <c r="P104" i="19" s="1"/>
  <c r="Y25" i="18"/>
  <c r="D24" i="19" s="1"/>
  <c r="P96" i="19" s="1"/>
  <c r="Y16" i="18"/>
  <c r="Y8" i="18"/>
  <c r="Y103" i="18"/>
  <c r="H34" i="19" s="1"/>
  <c r="T106" i="19" s="1"/>
  <c r="Y69" i="18"/>
  <c r="Y55" i="18"/>
  <c r="E37" i="19" s="1"/>
  <c r="Y24" i="18"/>
  <c r="Q37" i="18"/>
  <c r="P24" i="18"/>
  <c r="Q24" i="18" s="1"/>
  <c r="I106" i="14"/>
  <c r="H21" i="18"/>
  <c r="Q21" i="18" s="1"/>
  <c r="Q123" i="18" s="1"/>
  <c r="U35" i="18"/>
  <c r="P36" i="18"/>
  <c r="Q36" i="18" s="1"/>
  <c r="H45" i="18"/>
  <c r="Y65" i="18"/>
  <c r="AL67" i="18"/>
  <c r="F68" i="19" s="1"/>
  <c r="L104" i="19" s="1"/>
  <c r="H82" i="18"/>
  <c r="K122" i="14"/>
  <c r="J93" i="11" s="1"/>
  <c r="Y13" i="18"/>
  <c r="P17" i="18"/>
  <c r="P21" i="18"/>
  <c r="Y44" i="18"/>
  <c r="E26" i="19" s="1"/>
  <c r="Y51" i="18"/>
  <c r="E33" i="19" s="1"/>
  <c r="Q105" i="19" s="1"/>
  <c r="AL53" i="18"/>
  <c r="E71" i="19" s="1"/>
  <c r="K107" i="19" s="1"/>
  <c r="AL58" i="18"/>
  <c r="F59" i="19" s="1"/>
  <c r="P61" i="18"/>
  <c r="Q61" i="18" s="1"/>
  <c r="Y81" i="18"/>
  <c r="G29" i="19" s="1"/>
  <c r="S101" i="19" s="1"/>
  <c r="AL92" i="18"/>
  <c r="H59" i="19" s="1"/>
  <c r="Y95" i="18"/>
  <c r="H26" i="19" s="1"/>
  <c r="Q46" i="18"/>
  <c r="P56" i="18"/>
  <c r="Q56" i="18" s="1"/>
  <c r="L62" i="18"/>
  <c r="U62" i="18" s="1"/>
  <c r="H62" i="18"/>
  <c r="Q103" i="18"/>
  <c r="AL11" i="18"/>
  <c r="Q30" i="18"/>
  <c r="P33" i="18"/>
  <c r="P118" i="18" s="1"/>
  <c r="AL34" i="18"/>
  <c r="D69" i="19" s="1"/>
  <c r="J105" i="19" s="1"/>
  <c r="P45" i="18"/>
  <c r="H53" i="18"/>
  <c r="Q58" i="18"/>
  <c r="L110" i="19"/>
  <c r="E145" i="14"/>
  <c r="H78" i="18"/>
  <c r="Q78" i="18" s="1"/>
  <c r="Q83" i="18"/>
  <c r="P97" i="18"/>
  <c r="Q97" i="18" s="1"/>
  <c r="AL99" i="18"/>
  <c r="H66" i="19" s="1"/>
  <c r="AL105" i="18"/>
  <c r="H72" i="19" s="1"/>
  <c r="P49" i="18"/>
  <c r="Q49" i="18" s="1"/>
  <c r="Y17" i="18"/>
  <c r="AL19" i="18"/>
  <c r="P38" i="18"/>
  <c r="Q38" i="18" s="1"/>
  <c r="P53" i="18"/>
  <c r="Q79" i="18"/>
  <c r="Q68" i="18"/>
  <c r="M43" i="17"/>
  <c r="P7" i="18"/>
  <c r="Q12" i="18"/>
  <c r="P18" i="18"/>
  <c r="Y30" i="18"/>
  <c r="D29" i="19" s="1"/>
  <c r="P101" i="19" s="1"/>
  <c r="P34" i="18"/>
  <c r="Q34" i="18" s="1"/>
  <c r="Y49" i="18"/>
  <c r="E31" i="19" s="1"/>
  <c r="P63" i="18"/>
  <c r="Q63" i="18" s="1"/>
  <c r="Q73" i="18"/>
  <c r="Y78" i="18"/>
  <c r="G26" i="19" s="1"/>
  <c r="Y90" i="18"/>
  <c r="G38" i="19" s="1"/>
  <c r="Q106" i="18"/>
  <c r="M99" i="19"/>
  <c r="G80" i="14"/>
  <c r="P11" i="18"/>
  <c r="H19" i="18"/>
  <c r="H47" i="18"/>
  <c r="Q47" i="18" s="1"/>
  <c r="P50" i="18"/>
  <c r="Q50" i="18" s="1"/>
  <c r="AL51" i="18"/>
  <c r="E69" i="19" s="1"/>
  <c r="K105" i="19" s="1"/>
  <c r="Q59" i="18"/>
  <c r="Q60" i="18"/>
  <c r="H86" i="18"/>
  <c r="L86" i="18"/>
  <c r="Q94" i="18"/>
  <c r="H99" i="18"/>
  <c r="Y26" i="18"/>
  <c r="D25" i="19" s="1"/>
  <c r="P97" i="19" s="1"/>
  <c r="Q20" i="18"/>
  <c r="Q75" i="18"/>
  <c r="P80" i="18"/>
  <c r="Q80" i="18" s="1"/>
  <c r="H87" i="18"/>
  <c r="P93" i="18"/>
  <c r="Q93" i="18" s="1"/>
  <c r="P99" i="18"/>
  <c r="Q100" i="18"/>
  <c r="H51" i="18"/>
  <c r="P54" i="18"/>
  <c r="Q54" i="18" s="1"/>
  <c r="Y15" i="18"/>
  <c r="Q16" i="18"/>
  <c r="Y27" i="18"/>
  <c r="D26" i="19" s="1"/>
  <c r="Y34" i="18"/>
  <c r="D33" i="19" s="1"/>
  <c r="P105" i="19" s="1"/>
  <c r="Y47" i="18"/>
  <c r="E29" i="19" s="1"/>
  <c r="Q101" i="19" s="1"/>
  <c r="P51" i="18"/>
  <c r="Q55" i="18"/>
  <c r="AL56" i="18"/>
  <c r="E74" i="19" s="1"/>
  <c r="K110" i="19" s="1"/>
  <c r="Y73" i="18"/>
  <c r="AL82" i="18"/>
  <c r="G66" i="19" s="1"/>
  <c r="P87" i="18"/>
  <c r="K114" i="14"/>
  <c r="P9" i="18"/>
  <c r="P28" i="18"/>
  <c r="Q28" i="18" s="1"/>
  <c r="Y35" i="18"/>
  <c r="D34" i="19" s="1"/>
  <c r="P106" i="19" s="1"/>
  <c r="Y43" i="18"/>
  <c r="E25" i="19" s="1"/>
  <c r="Q97" i="19" s="1"/>
  <c r="AL45" i="18"/>
  <c r="E63" i="19" s="1"/>
  <c r="K99" i="19" s="1"/>
  <c r="AL83" i="18"/>
  <c r="G67" i="19" s="1"/>
  <c r="M110" i="19"/>
  <c r="G145" i="14"/>
  <c r="P65" i="18"/>
  <c r="H70" i="18"/>
  <c r="Q70" i="18" s="1"/>
  <c r="AL84" i="18"/>
  <c r="G68" i="19" s="1"/>
  <c r="M104" i="19" s="1"/>
  <c r="AL59" i="18"/>
  <c r="F60" i="19" s="1"/>
  <c r="L96" i="19" s="1"/>
  <c r="P92" i="18"/>
  <c r="Q92" i="18" s="1"/>
  <c r="AL93" i="18"/>
  <c r="H60" i="19" s="1"/>
  <c r="N96" i="19" s="1"/>
  <c r="P101" i="18"/>
  <c r="Q101" i="18" s="1"/>
  <c r="P77" i="18"/>
  <c r="Q77" i="18" s="1"/>
  <c r="P82" i="18"/>
  <c r="AL85" i="18"/>
  <c r="G69" i="19" s="1"/>
  <c r="M105" i="19" s="1"/>
  <c r="P85" i="18"/>
  <c r="Q85" i="18" s="1"/>
  <c r="P90" i="18"/>
  <c r="Q90" i="18" s="1"/>
  <c r="AL94" i="18"/>
  <c r="H61" i="19" s="1"/>
  <c r="N97" i="19" s="1"/>
  <c r="AL97" i="18"/>
  <c r="H64" i="19" s="1"/>
  <c r="N100" i="19" s="1"/>
  <c r="J4" i="20"/>
  <c r="H4" i="20"/>
  <c r="F4" i="20"/>
  <c r="D4" i="20"/>
  <c r="H107" i="18"/>
  <c r="Q65" i="18"/>
  <c r="AL65" i="18"/>
  <c r="F66" i="19" s="1"/>
  <c r="P67" i="18"/>
  <c r="Q67" i="18" s="1"/>
  <c r="AL101" i="18"/>
  <c r="H68" i="19" s="1"/>
  <c r="N104" i="19" s="1"/>
  <c r="P107" i="18"/>
  <c r="J59" i="11" l="1"/>
  <c r="K87" i="14"/>
  <c r="E94" i="14"/>
  <c r="K100" i="14"/>
  <c r="K139" i="14"/>
  <c r="L48" i="14"/>
  <c r="K48" i="14"/>
  <c r="J35" i="11"/>
  <c r="L61" i="14"/>
  <c r="K32" i="11" s="1"/>
  <c r="N32" i="11" s="1"/>
  <c r="T23" i="11" s="1"/>
  <c r="C37" i="30" s="1"/>
  <c r="K61" i="14"/>
  <c r="J48" i="11"/>
  <c r="K74" i="14"/>
  <c r="K113" i="14"/>
  <c r="K126" i="14"/>
  <c r="K132" i="14"/>
  <c r="J103" i="11" s="1"/>
  <c r="K67" i="14"/>
  <c r="J38" i="11" s="1"/>
  <c r="M24" i="25"/>
  <c r="AW24" i="25"/>
  <c r="AZ24" i="25" s="1"/>
  <c r="BX24" i="25"/>
  <c r="CA24" i="25" s="1"/>
  <c r="M50" i="25"/>
  <c r="BX50" i="25"/>
  <c r="CA50" i="25" s="1"/>
  <c r="AW50" i="25"/>
  <c r="AZ50" i="25" s="1"/>
  <c r="BX63" i="25"/>
  <c r="CA63" i="25" s="1"/>
  <c r="AW63" i="25"/>
  <c r="AZ63" i="25" s="1"/>
  <c r="M63" i="25"/>
  <c r="M37" i="25"/>
  <c r="AW37" i="25"/>
  <c r="AZ37" i="25" s="1"/>
  <c r="BX37" i="25"/>
  <c r="CA37" i="25" s="1"/>
  <c r="AW76" i="25"/>
  <c r="AZ76" i="25" s="1"/>
  <c r="BX76" i="25"/>
  <c r="CA76" i="25" s="1"/>
  <c r="M76" i="25"/>
  <c r="M89" i="25"/>
  <c r="AW89" i="25"/>
  <c r="AZ89" i="25" s="1"/>
  <c r="BX89" i="25"/>
  <c r="CA89" i="25" s="1"/>
  <c r="G11" i="25"/>
  <c r="BF11" i="25"/>
  <c r="BI11" i="25" s="1"/>
  <c r="BO11" i="25"/>
  <c r="BR11" i="25" s="1"/>
  <c r="M102" i="25"/>
  <c r="BX102" i="25"/>
  <c r="CA102" i="25" s="1"/>
  <c r="AW102" i="25"/>
  <c r="AZ102" i="25" s="1"/>
  <c r="F27" i="15"/>
  <c r="F11" i="15"/>
  <c r="J49" i="11"/>
  <c r="F31" i="15"/>
  <c r="J113" i="11"/>
  <c r="K136" i="14"/>
  <c r="J100" i="11"/>
  <c r="F17" i="15"/>
  <c r="J68" i="11"/>
  <c r="F19" i="15"/>
  <c r="J74" i="11"/>
  <c r="K71" i="14"/>
  <c r="J36" i="11"/>
  <c r="K123" i="14"/>
  <c r="J87" i="11"/>
  <c r="C25" i="19"/>
  <c r="Y111" i="18"/>
  <c r="C37" i="19"/>
  <c r="O109" i="19" s="1"/>
  <c r="Y123" i="18"/>
  <c r="C30" i="19"/>
  <c r="Y116" i="18"/>
  <c r="C28" i="19"/>
  <c r="Y114" i="18"/>
  <c r="C35" i="19"/>
  <c r="Y121" i="18"/>
  <c r="C31" i="19"/>
  <c r="E107" i="14" s="1"/>
  <c r="Y117" i="18"/>
  <c r="C27" i="19"/>
  <c r="O99" i="19" s="1"/>
  <c r="Y113" i="18"/>
  <c r="C36" i="19"/>
  <c r="E120" i="14" s="1"/>
  <c r="Y122" i="18"/>
  <c r="C32" i="19"/>
  <c r="Y118" i="18"/>
  <c r="C33" i="19"/>
  <c r="Y119" i="18"/>
  <c r="C38" i="19"/>
  <c r="E146" i="14" s="1"/>
  <c r="Y124" i="18"/>
  <c r="D23" i="19"/>
  <c r="E55" i="14" s="1"/>
  <c r="Y109" i="18"/>
  <c r="C34" i="19"/>
  <c r="C29" i="19"/>
  <c r="Y115" i="18"/>
  <c r="C24" i="19"/>
  <c r="Y110" i="18"/>
  <c r="Q9" i="18"/>
  <c r="Q111" i="18" s="1"/>
  <c r="P111" i="18"/>
  <c r="C65" i="19"/>
  <c r="I101" i="19" s="1"/>
  <c r="AL115" i="18"/>
  <c r="C67" i="19"/>
  <c r="AL117" i="18"/>
  <c r="Q19" i="18"/>
  <c r="Q114" i="18"/>
  <c r="Q33" i="18"/>
  <c r="N110" i="19"/>
  <c r="I145" i="14"/>
  <c r="K145" i="14" s="1"/>
  <c r="J116" i="11" s="1"/>
  <c r="AL119" i="18"/>
  <c r="BR36" i="25"/>
  <c r="BI36" i="25"/>
  <c r="C66" i="19"/>
  <c r="AL116" i="18"/>
  <c r="Q87" i="18"/>
  <c r="P121" i="18"/>
  <c r="P110" i="18"/>
  <c r="I95" i="19"/>
  <c r="G10" i="25"/>
  <c r="CJ10" i="25"/>
  <c r="AQ10" i="25"/>
  <c r="P124" i="18"/>
  <c r="Q122" i="18"/>
  <c r="BR10" i="25"/>
  <c r="BI10" i="25"/>
  <c r="E54" i="14"/>
  <c r="AL124" i="18"/>
  <c r="AL110" i="18"/>
  <c r="P115" i="18"/>
  <c r="P116" i="18"/>
  <c r="AL114" i="18"/>
  <c r="C62" i="19"/>
  <c r="AL112" i="18"/>
  <c r="Q13" i="18"/>
  <c r="Q115" i="18" s="1"/>
  <c r="BI49" i="25"/>
  <c r="BR49" i="25"/>
  <c r="I110" i="19"/>
  <c r="G101" i="25"/>
  <c r="CJ101" i="25"/>
  <c r="AQ101" i="25"/>
  <c r="Q112" i="18"/>
  <c r="P114" i="18"/>
  <c r="C61" i="19"/>
  <c r="I97" i="19" s="1"/>
  <c r="AL111" i="18"/>
  <c r="P117" i="18"/>
  <c r="Q18" i="18"/>
  <c r="Q11" i="18"/>
  <c r="P113" i="18"/>
  <c r="Q7" i="18"/>
  <c r="Q109" i="18" s="1"/>
  <c r="P109" i="18"/>
  <c r="C71" i="19"/>
  <c r="I107" i="19" s="1"/>
  <c r="AL121" i="18"/>
  <c r="C63" i="19"/>
  <c r="AL113" i="18"/>
  <c r="P123" i="18"/>
  <c r="Q118" i="18"/>
  <c r="P119" i="18"/>
  <c r="Q117" i="18"/>
  <c r="AL122" i="18"/>
  <c r="Q107" i="18"/>
  <c r="Q124" i="18" s="1"/>
  <c r="I108" i="19"/>
  <c r="CJ75" i="25"/>
  <c r="AQ75" i="25"/>
  <c r="G75" i="25"/>
  <c r="J108" i="19"/>
  <c r="CA75" i="25"/>
  <c r="AZ75" i="25"/>
  <c r="P75" i="25"/>
  <c r="P122" i="18"/>
  <c r="Q82" i="18"/>
  <c r="Q116" i="18" s="1"/>
  <c r="C73" i="19"/>
  <c r="AL123" i="18"/>
  <c r="AL118" i="18"/>
  <c r="P103" i="19"/>
  <c r="Q102" i="19"/>
  <c r="BR50" i="25"/>
  <c r="BI50" i="25"/>
  <c r="Q108" i="19"/>
  <c r="BR76" i="25"/>
  <c r="BI76" i="25"/>
  <c r="Q103" i="19"/>
  <c r="BR63" i="25"/>
  <c r="BI63" i="25"/>
  <c r="Q95" i="19"/>
  <c r="AQ11" i="25"/>
  <c r="CJ11" i="25"/>
  <c r="Q98" i="19"/>
  <c r="BR24" i="25"/>
  <c r="BI24" i="25"/>
  <c r="Q109" i="19"/>
  <c r="BI89" i="25"/>
  <c r="BR89" i="25"/>
  <c r="P109" i="19"/>
  <c r="P102" i="19"/>
  <c r="P110" i="19"/>
  <c r="P99" i="19"/>
  <c r="Q110" i="19"/>
  <c r="BR102" i="25"/>
  <c r="BI102" i="25"/>
  <c r="P98" i="19"/>
  <c r="P108" i="19"/>
  <c r="Q99" i="19"/>
  <c r="BR37" i="25"/>
  <c r="BI37" i="25"/>
  <c r="J20" i="11"/>
  <c r="J72" i="11"/>
  <c r="J111" i="11"/>
  <c r="J85" i="11"/>
  <c r="J98" i="11"/>
  <c r="J46" i="11"/>
  <c r="G133" i="14"/>
  <c r="F7" i="15"/>
  <c r="F23" i="15"/>
  <c r="M47" i="17"/>
  <c r="K110" i="14"/>
  <c r="K84" i="14"/>
  <c r="AH106" i="18"/>
  <c r="H91" i="19" s="1"/>
  <c r="AH104" i="18"/>
  <c r="H89" i="19" s="1"/>
  <c r="H107" i="19" s="1"/>
  <c r="AH105" i="18"/>
  <c r="H90" i="19" s="1"/>
  <c r="AH98" i="18"/>
  <c r="H83" i="19" s="1"/>
  <c r="H101" i="19" s="1"/>
  <c r="AH99" i="18"/>
  <c r="H84" i="19" s="1"/>
  <c r="AH95" i="18"/>
  <c r="H80" i="19" s="1"/>
  <c r="H98" i="19" s="1"/>
  <c r="AH94" i="18"/>
  <c r="H79" i="19" s="1"/>
  <c r="H97" i="19" s="1"/>
  <c r="AH96" i="18"/>
  <c r="H81" i="19" s="1"/>
  <c r="H99" i="19" s="1"/>
  <c r="AH102" i="18"/>
  <c r="H87" i="19" s="1"/>
  <c r="H105" i="19" s="1"/>
  <c r="AH107" i="18"/>
  <c r="H92" i="19" s="1"/>
  <c r="H110" i="19" s="1"/>
  <c r="AH100" i="18"/>
  <c r="H85" i="19" s="1"/>
  <c r="H103" i="19" s="1"/>
  <c r="AH55" i="18"/>
  <c r="E91" i="19" s="1"/>
  <c r="Y10" i="18"/>
  <c r="AH58" i="18"/>
  <c r="F77" i="19" s="1"/>
  <c r="S102" i="19"/>
  <c r="G94" i="14"/>
  <c r="K58" i="14"/>
  <c r="K149" i="14"/>
  <c r="AH54" i="18"/>
  <c r="E90" i="19" s="1"/>
  <c r="AH69" i="18"/>
  <c r="F88" i="19" s="1"/>
  <c r="F106" i="19" s="1"/>
  <c r="N95" i="19"/>
  <c r="I54" i="14"/>
  <c r="AH37" i="18"/>
  <c r="D90" i="19" s="1"/>
  <c r="AH64" i="18"/>
  <c r="F83" i="19" s="1"/>
  <c r="F101" i="19" s="1"/>
  <c r="AH80" i="18"/>
  <c r="G82" i="19" s="1"/>
  <c r="G100" i="19" s="1"/>
  <c r="M103" i="19"/>
  <c r="G106" i="14"/>
  <c r="K106" i="14" s="1"/>
  <c r="J77" i="11" s="1"/>
  <c r="M102" i="19"/>
  <c r="G93" i="14"/>
  <c r="AH68" i="18"/>
  <c r="F87" i="19" s="1"/>
  <c r="F105" i="19" s="1"/>
  <c r="Q51" i="18"/>
  <c r="Q119" i="18" s="1"/>
  <c r="Q99" i="18"/>
  <c r="N108" i="19"/>
  <c r="I119" i="14"/>
  <c r="K119" i="14" s="1"/>
  <c r="J90" i="11" s="1"/>
  <c r="AH78" i="18"/>
  <c r="G80" i="19" s="1"/>
  <c r="AH56" i="18"/>
  <c r="E92" i="19" s="1"/>
  <c r="AH61" i="18"/>
  <c r="F80" i="19" s="1"/>
  <c r="AH86" i="18"/>
  <c r="G88" i="19" s="1"/>
  <c r="G106" i="19" s="1"/>
  <c r="N102" i="19"/>
  <c r="I93" i="14"/>
  <c r="AH90" i="18"/>
  <c r="G92" i="19" s="1"/>
  <c r="AH16" i="18"/>
  <c r="AH50" i="18"/>
  <c r="E86" i="19" s="1"/>
  <c r="E104" i="19" s="1"/>
  <c r="AH65" i="18"/>
  <c r="F84" i="19" s="1"/>
  <c r="AH73" i="18"/>
  <c r="F92" i="19" s="1"/>
  <c r="AH25" i="18"/>
  <c r="D78" i="19" s="1"/>
  <c r="D96" i="19" s="1"/>
  <c r="AH72" i="18"/>
  <c r="F91" i="19" s="1"/>
  <c r="AH89" i="18"/>
  <c r="G91" i="19" s="1"/>
  <c r="AH87" i="18"/>
  <c r="G89" i="19" s="1"/>
  <c r="G107" i="19" s="1"/>
  <c r="H95" i="19"/>
  <c r="AH44" i="18"/>
  <c r="E80" i="19" s="1"/>
  <c r="T103" i="19"/>
  <c r="I107" i="14"/>
  <c r="L102" i="19"/>
  <c r="E93" i="14"/>
  <c r="K80" i="14"/>
  <c r="J51" i="11" s="1"/>
  <c r="AH11" i="18"/>
  <c r="Q62" i="18"/>
  <c r="AH33" i="18"/>
  <c r="D86" i="19" s="1"/>
  <c r="D104" i="19" s="1"/>
  <c r="S108" i="19"/>
  <c r="G120" i="14"/>
  <c r="S99" i="19"/>
  <c r="G81" i="14"/>
  <c r="T102" i="19"/>
  <c r="I94" i="14"/>
  <c r="AH31" i="18"/>
  <c r="D84" i="19" s="1"/>
  <c r="L95" i="19"/>
  <c r="AH29" i="18"/>
  <c r="D82" i="19" s="1"/>
  <c r="D100" i="19" s="1"/>
  <c r="AH21" i="18"/>
  <c r="AH13" i="18"/>
  <c r="AH19" i="18"/>
  <c r="AH22" i="18"/>
  <c r="AH14" i="18"/>
  <c r="AH52" i="18"/>
  <c r="E88" i="19" s="1"/>
  <c r="E106" i="19" s="1"/>
  <c r="AH60" i="18"/>
  <c r="F79" i="19" s="1"/>
  <c r="F97" i="19" s="1"/>
  <c r="AH20" i="18"/>
  <c r="S103" i="19"/>
  <c r="G107" i="14"/>
  <c r="AH79" i="18"/>
  <c r="G81" i="19" s="1"/>
  <c r="T108" i="19"/>
  <c r="I120" i="14"/>
  <c r="T99" i="19"/>
  <c r="I81" i="14"/>
  <c r="AH48" i="18"/>
  <c r="E84" i="19" s="1"/>
  <c r="AH18" i="18"/>
  <c r="Q53" i="18"/>
  <c r="AH46" i="18"/>
  <c r="E82" i="19" s="1"/>
  <c r="E100" i="19" s="1"/>
  <c r="AH9" i="18"/>
  <c r="AH28" i="18"/>
  <c r="D81" i="19" s="1"/>
  <c r="AH8" i="18"/>
  <c r="AH51" i="18"/>
  <c r="E87" i="19" s="1"/>
  <c r="E105" i="19" s="1"/>
  <c r="AH66" i="18"/>
  <c r="F85" i="19" s="1"/>
  <c r="AH71" i="18"/>
  <c r="F90" i="19" s="1"/>
  <c r="AH63" i="18"/>
  <c r="F82" i="19" s="1"/>
  <c r="F100" i="19" s="1"/>
  <c r="AH41" i="18"/>
  <c r="E77" i="19" s="1"/>
  <c r="S110" i="19"/>
  <c r="G146" i="14"/>
  <c r="AH12" i="18"/>
  <c r="Q45" i="18"/>
  <c r="R95" i="19"/>
  <c r="T110" i="19"/>
  <c r="I146" i="14"/>
  <c r="AH82" i="18"/>
  <c r="G84" i="19" s="1"/>
  <c r="AH49" i="18"/>
  <c r="E85" i="19" s="1"/>
  <c r="AH62" i="18"/>
  <c r="F81" i="19" s="1"/>
  <c r="AH39" i="18"/>
  <c r="D92" i="19" s="1"/>
  <c r="AH30" i="18"/>
  <c r="D83" i="19" s="1"/>
  <c r="D101" i="19" s="1"/>
  <c r="AH38" i="18"/>
  <c r="D91" i="19" s="1"/>
  <c r="AH35" i="18"/>
  <c r="D88" i="19" s="1"/>
  <c r="D106" i="19" s="1"/>
  <c r="AH43" i="18"/>
  <c r="E79" i="19" s="1"/>
  <c r="E97" i="19" s="1"/>
  <c r="AH42" i="18"/>
  <c r="E78" i="19" s="1"/>
  <c r="E96" i="19" s="1"/>
  <c r="T109" i="19"/>
  <c r="I133" i="14"/>
  <c r="AH17" i="18"/>
  <c r="AH70" i="18"/>
  <c r="F89" i="19" s="1"/>
  <c r="F107" i="19" s="1"/>
  <c r="AH24" i="18"/>
  <c r="D77" i="19" s="1"/>
  <c r="AH34" i="18"/>
  <c r="D87" i="19" s="1"/>
  <c r="D105" i="19" s="1"/>
  <c r="AH15" i="18"/>
  <c r="S95" i="19"/>
  <c r="G55" i="14"/>
  <c r="AH10" i="18"/>
  <c r="AH45" i="18"/>
  <c r="E81" i="19" s="1"/>
  <c r="AH47" i="18"/>
  <c r="E83" i="19" s="1"/>
  <c r="E101" i="19" s="1"/>
  <c r="AH84" i="18"/>
  <c r="G86" i="19" s="1"/>
  <c r="G104" i="19" s="1"/>
  <c r="AH76" i="18"/>
  <c r="G78" i="19" s="1"/>
  <c r="G96" i="19" s="1"/>
  <c r="AH83" i="18"/>
  <c r="G85" i="19" s="1"/>
  <c r="AH81" i="18"/>
  <c r="G83" i="19" s="1"/>
  <c r="G101" i="19" s="1"/>
  <c r="AH88" i="18"/>
  <c r="G90" i="19" s="1"/>
  <c r="AH75" i="18"/>
  <c r="G77" i="19" s="1"/>
  <c r="AH32" i="18"/>
  <c r="D85" i="19" s="1"/>
  <c r="S98" i="19"/>
  <c r="G68" i="14"/>
  <c r="AH27" i="18"/>
  <c r="D80" i="19" s="1"/>
  <c r="AH59" i="18"/>
  <c r="F78" i="19" s="1"/>
  <c r="F96" i="19" s="1"/>
  <c r="AH36" i="18"/>
  <c r="D89" i="19" s="1"/>
  <c r="D107" i="19" s="1"/>
  <c r="AH53" i="18"/>
  <c r="E89" i="19" s="1"/>
  <c r="E107" i="19" s="1"/>
  <c r="P86" i="18"/>
  <c r="Q86" i="18" s="1"/>
  <c r="U86" i="18"/>
  <c r="Y86" i="18" s="1"/>
  <c r="G34" i="19" s="1"/>
  <c r="S106" i="19" s="1"/>
  <c r="T95" i="19"/>
  <c r="I55" i="14"/>
  <c r="T98" i="19"/>
  <c r="I68" i="14"/>
  <c r="AH26" i="18"/>
  <c r="D79" i="19" s="1"/>
  <c r="D97" i="19" s="1"/>
  <c r="AH67" i="18"/>
  <c r="F86" i="19" s="1"/>
  <c r="F104" i="19" s="1"/>
  <c r="AH77" i="18"/>
  <c r="G79" i="19" s="1"/>
  <c r="G97" i="19" s="1"/>
  <c r="AH85" i="18"/>
  <c r="G87" i="19" s="1"/>
  <c r="G105" i="19" s="1"/>
  <c r="I53" i="14" l="1"/>
  <c r="E81" i="14"/>
  <c r="E133" i="14"/>
  <c r="I118" i="14"/>
  <c r="I131" i="14"/>
  <c r="I92" i="14"/>
  <c r="O106" i="19"/>
  <c r="I34" i="19"/>
  <c r="J34" i="19" s="1"/>
  <c r="K34" i="19" s="1"/>
  <c r="L34" i="19" s="1"/>
  <c r="M34" i="19" s="1"/>
  <c r="N34" i="19" s="1"/>
  <c r="O34" i="19" s="1"/>
  <c r="P34" i="19" s="1"/>
  <c r="Q34" i="19" s="1"/>
  <c r="R34" i="19" s="1"/>
  <c r="S34" i="19" s="1"/>
  <c r="O100" i="19"/>
  <c r="I28" i="19"/>
  <c r="J28" i="19" s="1"/>
  <c r="K28" i="19" s="1"/>
  <c r="L28" i="19" s="1"/>
  <c r="M28" i="19" s="1"/>
  <c r="N28" i="19" s="1"/>
  <c r="O28" i="19" s="1"/>
  <c r="P28" i="19" s="1"/>
  <c r="Q28" i="19" s="1"/>
  <c r="R28" i="19" s="1"/>
  <c r="S28" i="19" s="1"/>
  <c r="O97" i="19"/>
  <c r="I25" i="19"/>
  <c r="J25" i="19" s="1"/>
  <c r="K25" i="19" s="1"/>
  <c r="L25" i="19" s="1"/>
  <c r="M25" i="19" s="1"/>
  <c r="N25" i="19" s="1"/>
  <c r="O25" i="19" s="1"/>
  <c r="P25" i="19" s="1"/>
  <c r="Q25" i="19" s="1"/>
  <c r="R25" i="19" s="1"/>
  <c r="S25" i="19" s="1"/>
  <c r="AW100" i="25"/>
  <c r="AZ100" i="25" s="1"/>
  <c r="M100" i="25"/>
  <c r="BX100" i="25"/>
  <c r="CA100" i="25" s="1"/>
  <c r="I27" i="19"/>
  <c r="J27" i="19" s="1"/>
  <c r="K27" i="19" s="1"/>
  <c r="L27" i="19" s="1"/>
  <c r="M27" i="19" s="1"/>
  <c r="N27" i="19" s="1"/>
  <c r="O27" i="19" s="1"/>
  <c r="D37" i="25"/>
  <c r="AN37" i="25"/>
  <c r="AQ37" i="25" s="1"/>
  <c r="CG37" i="25"/>
  <c r="CJ37" i="25" s="1"/>
  <c r="CG102" i="25"/>
  <c r="CJ102" i="25" s="1"/>
  <c r="D102" i="25"/>
  <c r="I38" i="19"/>
  <c r="J38" i="19" s="1"/>
  <c r="K38" i="19" s="1"/>
  <c r="L38" i="19" s="1"/>
  <c r="M38" i="19" s="1"/>
  <c r="N38" i="19" s="1"/>
  <c r="O38" i="19" s="1"/>
  <c r="AN102" i="25"/>
  <c r="AQ102" i="25" s="1"/>
  <c r="D89" i="25"/>
  <c r="I37" i="19"/>
  <c r="J37" i="19" s="1"/>
  <c r="K37" i="19" s="1"/>
  <c r="L37" i="19" s="1"/>
  <c r="M37" i="19" s="1"/>
  <c r="N37" i="19" s="1"/>
  <c r="O37" i="19" s="1"/>
  <c r="AN89" i="25"/>
  <c r="AQ89" i="25" s="1"/>
  <c r="CG89" i="25"/>
  <c r="CJ89" i="25" s="1"/>
  <c r="O104" i="19"/>
  <c r="I32" i="19"/>
  <c r="J32" i="19" s="1"/>
  <c r="K32" i="19" s="1"/>
  <c r="L32" i="19" s="1"/>
  <c r="M32" i="19" s="1"/>
  <c r="N32" i="19" s="1"/>
  <c r="O32" i="19" s="1"/>
  <c r="P32" i="19" s="1"/>
  <c r="Q32" i="19" s="1"/>
  <c r="R32" i="19" s="1"/>
  <c r="S32" i="19" s="1"/>
  <c r="BO9" i="25"/>
  <c r="BR9" i="25" s="1"/>
  <c r="BF9" i="25"/>
  <c r="BI9" i="25" s="1"/>
  <c r="BF100" i="25"/>
  <c r="BI100" i="25" s="1"/>
  <c r="BO100" i="25"/>
  <c r="BR100" i="25" s="1"/>
  <c r="BO35" i="25"/>
  <c r="BR35" i="25" s="1"/>
  <c r="BF35" i="25"/>
  <c r="BI35" i="25" s="1"/>
  <c r="O96" i="19"/>
  <c r="I24" i="19"/>
  <c r="J24" i="19" s="1"/>
  <c r="K24" i="19" s="1"/>
  <c r="L24" i="19" s="1"/>
  <c r="M24" i="19" s="1"/>
  <c r="N24" i="19" s="1"/>
  <c r="O24" i="19" s="1"/>
  <c r="P24" i="19" s="1"/>
  <c r="Q24" i="19" s="1"/>
  <c r="R24" i="19" s="1"/>
  <c r="S24" i="19" s="1"/>
  <c r="AW74" i="25"/>
  <c r="AZ74" i="25" s="1"/>
  <c r="M74" i="25"/>
  <c r="BX74" i="25"/>
  <c r="CA74" i="25" s="1"/>
  <c r="M9" i="25"/>
  <c r="AW9" i="25"/>
  <c r="AZ9" i="25" s="1"/>
  <c r="BX9" i="25"/>
  <c r="CA9" i="25" s="1"/>
  <c r="BO22" i="25"/>
  <c r="BR22" i="25" s="1"/>
  <c r="BF22" i="25"/>
  <c r="BI22" i="25" s="1"/>
  <c r="P95" i="19"/>
  <c r="M11" i="25"/>
  <c r="AW11" i="25"/>
  <c r="AZ11" i="25" s="1"/>
  <c r="BX11" i="25"/>
  <c r="I23" i="19"/>
  <c r="J23" i="19" s="1"/>
  <c r="K23" i="19" s="1"/>
  <c r="L23" i="19" s="1"/>
  <c r="M23" i="19" s="1"/>
  <c r="N23" i="19" s="1"/>
  <c r="O23" i="19" s="1"/>
  <c r="M61" i="25"/>
  <c r="BX61" i="25"/>
  <c r="CA61" i="25" s="1"/>
  <c r="AW61" i="25"/>
  <c r="AZ61" i="25" s="1"/>
  <c r="AW48" i="25"/>
  <c r="AZ48" i="25" s="1"/>
  <c r="M48" i="25"/>
  <c r="BX48" i="25"/>
  <c r="CA48" i="25" s="1"/>
  <c r="O102" i="19"/>
  <c r="D50" i="25"/>
  <c r="I30" i="19"/>
  <c r="J30" i="19" s="1"/>
  <c r="K30" i="19" s="1"/>
  <c r="L30" i="19" s="1"/>
  <c r="M30" i="19" s="1"/>
  <c r="N30" i="19" s="1"/>
  <c r="O30" i="19" s="1"/>
  <c r="CG50" i="25"/>
  <c r="CJ50" i="25" s="1"/>
  <c r="AN50" i="25"/>
  <c r="AQ50" i="25" s="1"/>
  <c r="O105" i="19"/>
  <c r="I33" i="19"/>
  <c r="J33" i="19" s="1"/>
  <c r="K33" i="19" s="1"/>
  <c r="L33" i="19" s="1"/>
  <c r="M33" i="19" s="1"/>
  <c r="N33" i="19" s="1"/>
  <c r="O33" i="19" s="1"/>
  <c r="P33" i="19" s="1"/>
  <c r="Q33" i="19" s="1"/>
  <c r="R33" i="19" s="1"/>
  <c r="S33" i="19" s="1"/>
  <c r="BO87" i="25"/>
  <c r="BR87" i="25" s="1"/>
  <c r="BF87" i="25"/>
  <c r="BI87" i="25" s="1"/>
  <c r="M87" i="25"/>
  <c r="BX87" i="25"/>
  <c r="CA87" i="25" s="1"/>
  <c r="AW87" i="25"/>
  <c r="AZ87" i="25" s="1"/>
  <c r="O110" i="19"/>
  <c r="O103" i="19"/>
  <c r="I31" i="19"/>
  <c r="J31" i="19" s="1"/>
  <c r="K31" i="19" s="1"/>
  <c r="L31" i="19" s="1"/>
  <c r="M31" i="19" s="1"/>
  <c r="N31" i="19" s="1"/>
  <c r="O31" i="19" s="1"/>
  <c r="CG63" i="25"/>
  <c r="CJ63" i="25" s="1"/>
  <c r="AN63" i="25"/>
  <c r="AQ63" i="25" s="1"/>
  <c r="D63" i="25"/>
  <c r="O107" i="19"/>
  <c r="I35" i="19"/>
  <c r="J35" i="19" s="1"/>
  <c r="K35" i="19" s="1"/>
  <c r="L35" i="19" s="1"/>
  <c r="M35" i="19" s="1"/>
  <c r="N35" i="19" s="1"/>
  <c r="O35" i="19" s="1"/>
  <c r="P35" i="19" s="1"/>
  <c r="Q35" i="19" s="1"/>
  <c r="R35" i="19" s="1"/>
  <c r="S35" i="19" s="1"/>
  <c r="D98" i="19"/>
  <c r="AW22" i="25"/>
  <c r="AZ22" i="25" s="1"/>
  <c r="BX22" i="25"/>
  <c r="CA22" i="25" s="1"/>
  <c r="M22" i="25"/>
  <c r="BO74" i="25"/>
  <c r="BR74" i="25" s="1"/>
  <c r="BF74" i="25"/>
  <c r="BI74" i="25" s="1"/>
  <c r="BF61" i="25"/>
  <c r="BI61" i="25" s="1"/>
  <c r="BO61" i="25"/>
  <c r="BR61" i="25" s="1"/>
  <c r="AN76" i="25"/>
  <c r="AQ76" i="25" s="1"/>
  <c r="I36" i="19"/>
  <c r="J36" i="19" s="1"/>
  <c r="K36" i="19" s="1"/>
  <c r="L36" i="19" s="1"/>
  <c r="M36" i="19" s="1"/>
  <c r="N36" i="19" s="1"/>
  <c r="O36" i="19" s="1"/>
  <c r="CG76" i="25"/>
  <c r="CJ76" i="25" s="1"/>
  <c r="D76" i="25"/>
  <c r="BO48" i="25"/>
  <c r="BR48" i="25" s="1"/>
  <c r="BF48" i="25"/>
  <c r="BI48" i="25" s="1"/>
  <c r="AW35" i="25"/>
  <c r="AZ35" i="25" s="1"/>
  <c r="BX35" i="25"/>
  <c r="CA35" i="25" s="1"/>
  <c r="M35" i="25"/>
  <c r="O101" i="19"/>
  <c r="I29" i="19"/>
  <c r="J29" i="19" s="1"/>
  <c r="K29" i="19" s="1"/>
  <c r="L29" i="19" s="1"/>
  <c r="M29" i="19" s="1"/>
  <c r="N29" i="19" s="1"/>
  <c r="O29" i="19" s="1"/>
  <c r="P29" i="19" s="1"/>
  <c r="Q29" i="19" s="1"/>
  <c r="R29" i="19" s="1"/>
  <c r="S29" i="19" s="1"/>
  <c r="F21" i="15"/>
  <c r="J81" i="11"/>
  <c r="F9" i="15"/>
  <c r="J42" i="11"/>
  <c r="F13" i="15"/>
  <c r="J55" i="11"/>
  <c r="F25" i="15"/>
  <c r="J94" i="11"/>
  <c r="F29" i="15"/>
  <c r="J107" i="11"/>
  <c r="F33" i="15"/>
  <c r="J120" i="11"/>
  <c r="F5" i="15"/>
  <c r="J29" i="11"/>
  <c r="H102" i="19"/>
  <c r="Y120" i="18"/>
  <c r="C26" i="19"/>
  <c r="E68" i="14" s="1"/>
  <c r="K68" i="14" s="1"/>
  <c r="J39" i="11" s="1"/>
  <c r="Y112" i="18"/>
  <c r="O108" i="19"/>
  <c r="C90" i="19"/>
  <c r="E118" i="14" s="1"/>
  <c r="AH122" i="18"/>
  <c r="I90" i="19" s="1"/>
  <c r="J90" i="19" s="1"/>
  <c r="K90" i="19" s="1"/>
  <c r="L90" i="19" s="1"/>
  <c r="M90" i="19" s="1"/>
  <c r="N90" i="19" s="1"/>
  <c r="O90" i="19" s="1"/>
  <c r="I109" i="19"/>
  <c r="G88" i="25"/>
  <c r="CJ88" i="25"/>
  <c r="AQ88" i="25"/>
  <c r="C77" i="19"/>
  <c r="C95" i="19" s="1"/>
  <c r="AH109" i="18"/>
  <c r="I77" i="19" s="1"/>
  <c r="J77" i="19" s="1"/>
  <c r="K77" i="19" s="1"/>
  <c r="L77" i="19" s="1"/>
  <c r="M77" i="19" s="1"/>
  <c r="N77" i="19" s="1"/>
  <c r="O77" i="19" s="1"/>
  <c r="I99" i="19"/>
  <c r="CJ36" i="25"/>
  <c r="AQ36" i="25"/>
  <c r="G36" i="25"/>
  <c r="C80" i="19"/>
  <c r="E66" i="14" s="1"/>
  <c r="AH112" i="18"/>
  <c r="I80" i="19" s="1"/>
  <c r="J80" i="19" s="1"/>
  <c r="K80" i="19" s="1"/>
  <c r="L80" i="19" s="1"/>
  <c r="M80" i="19" s="1"/>
  <c r="N80" i="19" s="1"/>
  <c r="O80" i="19" s="1"/>
  <c r="C79" i="19"/>
  <c r="C97" i="19" s="1"/>
  <c r="AH111" i="18"/>
  <c r="I79" i="19" s="1"/>
  <c r="J79" i="19" s="1"/>
  <c r="K79" i="19" s="1"/>
  <c r="L79" i="19" s="1"/>
  <c r="M79" i="19" s="1"/>
  <c r="N79" i="19" s="1"/>
  <c r="O79" i="19" s="1"/>
  <c r="P79" i="19" s="1"/>
  <c r="Q79" i="19" s="1"/>
  <c r="R79" i="19" s="1"/>
  <c r="S79" i="19" s="1"/>
  <c r="C92" i="19"/>
  <c r="E144" i="14" s="1"/>
  <c r="AH124" i="18"/>
  <c r="I92" i="19" s="1"/>
  <c r="J92" i="19" s="1"/>
  <c r="K92" i="19" s="1"/>
  <c r="L92" i="19" s="1"/>
  <c r="M92" i="19" s="1"/>
  <c r="N92" i="19" s="1"/>
  <c r="O92" i="19" s="1"/>
  <c r="C86" i="19"/>
  <c r="C104" i="19" s="1"/>
  <c r="AH118" i="18"/>
  <c r="I86" i="19" s="1"/>
  <c r="J86" i="19" s="1"/>
  <c r="K86" i="19" s="1"/>
  <c r="L86" i="19" s="1"/>
  <c r="M86" i="19" s="1"/>
  <c r="N86" i="19" s="1"/>
  <c r="O86" i="19" s="1"/>
  <c r="P86" i="19" s="1"/>
  <c r="Q86" i="19" s="1"/>
  <c r="R86" i="19" s="1"/>
  <c r="S86" i="19" s="1"/>
  <c r="C83" i="19"/>
  <c r="C101" i="19" s="1"/>
  <c r="AH115" i="18"/>
  <c r="I83" i="19" s="1"/>
  <c r="J83" i="19" s="1"/>
  <c r="K83" i="19" s="1"/>
  <c r="L83" i="19" s="1"/>
  <c r="M83" i="19" s="1"/>
  <c r="N83" i="19" s="1"/>
  <c r="O83" i="19" s="1"/>
  <c r="P83" i="19" s="1"/>
  <c r="Q83" i="19" s="1"/>
  <c r="R83" i="19" s="1"/>
  <c r="S83" i="19" s="1"/>
  <c r="Q121" i="18"/>
  <c r="C91" i="19"/>
  <c r="AH123" i="18"/>
  <c r="I91" i="19" s="1"/>
  <c r="J91" i="19" s="1"/>
  <c r="K91" i="19" s="1"/>
  <c r="L91" i="19" s="1"/>
  <c r="M91" i="19" s="1"/>
  <c r="N91" i="19" s="1"/>
  <c r="O91" i="19" s="1"/>
  <c r="I103" i="19"/>
  <c r="CJ62" i="25"/>
  <c r="AQ62" i="25"/>
  <c r="G62" i="25"/>
  <c r="C85" i="19"/>
  <c r="E105" i="14" s="1"/>
  <c r="AH117" i="18"/>
  <c r="I85" i="19" s="1"/>
  <c r="J85" i="19" s="1"/>
  <c r="K85" i="19" s="1"/>
  <c r="L85" i="19" s="1"/>
  <c r="M85" i="19" s="1"/>
  <c r="N85" i="19" s="1"/>
  <c r="O85" i="19" s="1"/>
  <c r="Q113" i="18"/>
  <c r="C81" i="19"/>
  <c r="AH113" i="18"/>
  <c r="I81" i="19" s="1"/>
  <c r="J81" i="19" s="1"/>
  <c r="K81" i="19" s="1"/>
  <c r="L81" i="19" s="1"/>
  <c r="M81" i="19" s="1"/>
  <c r="N81" i="19" s="1"/>
  <c r="O81" i="19" s="1"/>
  <c r="P120" i="18"/>
  <c r="I98" i="19"/>
  <c r="CJ23" i="25"/>
  <c r="AQ23" i="25"/>
  <c r="G23" i="25"/>
  <c r="I102" i="19"/>
  <c r="CJ49" i="25"/>
  <c r="G49" i="25"/>
  <c r="AQ49" i="25"/>
  <c r="C78" i="19"/>
  <c r="C96" i="19" s="1"/>
  <c r="AH110" i="18"/>
  <c r="I78" i="19" s="1"/>
  <c r="J78" i="19" s="1"/>
  <c r="K78" i="19" s="1"/>
  <c r="L78" i="19" s="1"/>
  <c r="M78" i="19" s="1"/>
  <c r="N78" i="19" s="1"/>
  <c r="O78" i="19" s="1"/>
  <c r="P78" i="19" s="1"/>
  <c r="Q78" i="19" s="1"/>
  <c r="R78" i="19" s="1"/>
  <c r="S78" i="19" s="1"/>
  <c r="C89" i="19"/>
  <c r="C107" i="19" s="1"/>
  <c r="AH121" i="18"/>
  <c r="I89" i="19" s="1"/>
  <c r="J89" i="19" s="1"/>
  <c r="K89" i="19" s="1"/>
  <c r="L89" i="19" s="1"/>
  <c r="M89" i="19" s="1"/>
  <c r="N89" i="19" s="1"/>
  <c r="O89" i="19" s="1"/>
  <c r="P89" i="19" s="1"/>
  <c r="Q89" i="19" s="1"/>
  <c r="R89" i="19" s="1"/>
  <c r="S89" i="19" s="1"/>
  <c r="C88" i="19"/>
  <c r="C106" i="19" s="1"/>
  <c r="AH120" i="18"/>
  <c r="I88" i="19" s="1"/>
  <c r="J88" i="19" s="1"/>
  <c r="K88" i="19" s="1"/>
  <c r="L88" i="19" s="1"/>
  <c r="M88" i="19" s="1"/>
  <c r="N88" i="19" s="1"/>
  <c r="O88" i="19" s="1"/>
  <c r="P88" i="19" s="1"/>
  <c r="Q88" i="19" s="1"/>
  <c r="R88" i="19" s="1"/>
  <c r="S88" i="19" s="1"/>
  <c r="C87" i="19"/>
  <c r="C105" i="19" s="1"/>
  <c r="AH119" i="18"/>
  <c r="I87" i="19" s="1"/>
  <c r="J87" i="19" s="1"/>
  <c r="K87" i="19" s="1"/>
  <c r="L87" i="19" s="1"/>
  <c r="M87" i="19" s="1"/>
  <c r="N87" i="19" s="1"/>
  <c r="O87" i="19" s="1"/>
  <c r="P87" i="19" s="1"/>
  <c r="Q87" i="19" s="1"/>
  <c r="R87" i="19" s="1"/>
  <c r="S87" i="19" s="1"/>
  <c r="C82" i="19"/>
  <c r="C100" i="19" s="1"/>
  <c r="AH114" i="18"/>
  <c r="I82" i="19" s="1"/>
  <c r="J82" i="19" s="1"/>
  <c r="K82" i="19" s="1"/>
  <c r="L82" i="19" s="1"/>
  <c r="M82" i="19" s="1"/>
  <c r="N82" i="19" s="1"/>
  <c r="O82" i="19" s="1"/>
  <c r="P82" i="19" s="1"/>
  <c r="Q82" i="19" s="1"/>
  <c r="R82" i="19" s="1"/>
  <c r="S82" i="19" s="1"/>
  <c r="Q120" i="18"/>
  <c r="C84" i="19"/>
  <c r="AH116" i="18"/>
  <c r="I84" i="19" s="1"/>
  <c r="J84" i="19" s="1"/>
  <c r="K84" i="19" s="1"/>
  <c r="L84" i="19" s="1"/>
  <c r="M84" i="19" s="1"/>
  <c r="N84" i="19" s="1"/>
  <c r="O84" i="19" s="1"/>
  <c r="H109" i="19"/>
  <c r="D108" i="19"/>
  <c r="E102" i="19"/>
  <c r="D95" i="19"/>
  <c r="P50" i="25"/>
  <c r="D103" i="19"/>
  <c r="E103" i="19"/>
  <c r="P37" i="25"/>
  <c r="D109" i="19"/>
  <c r="P102" i="25"/>
  <c r="D102" i="19"/>
  <c r="E108" i="19"/>
  <c r="P24" i="25"/>
  <c r="E98" i="19"/>
  <c r="P89" i="25"/>
  <c r="E95" i="19"/>
  <c r="E99" i="19"/>
  <c r="Y35" i="25"/>
  <c r="P63" i="25"/>
  <c r="P76" i="25"/>
  <c r="E110" i="19"/>
  <c r="D110" i="19"/>
  <c r="D99" i="19"/>
  <c r="E109" i="19"/>
  <c r="K133" i="14"/>
  <c r="J104" i="11" s="1"/>
  <c r="K93" i="14"/>
  <c r="J64" i="11" s="1"/>
  <c r="K94" i="14"/>
  <c r="J65" i="11" s="1"/>
  <c r="I126" i="14"/>
  <c r="I136" i="14" s="1"/>
  <c r="E29" i="15" s="1"/>
  <c r="I79" i="14"/>
  <c r="I74" i="14" s="1"/>
  <c r="I66" i="14"/>
  <c r="I61" i="14" s="1"/>
  <c r="H108" i="19"/>
  <c r="I105" i="14"/>
  <c r="I100" i="14" s="1"/>
  <c r="E19" i="15" s="1"/>
  <c r="I144" i="14"/>
  <c r="I139" i="14" s="1"/>
  <c r="E31" i="15" s="1"/>
  <c r="F95" i="19"/>
  <c r="K146" i="14"/>
  <c r="J117" i="11" s="1"/>
  <c r="I87" i="14"/>
  <c r="E15" i="15" s="1"/>
  <c r="K107" i="14"/>
  <c r="J78" i="11" s="1"/>
  <c r="K120" i="14"/>
  <c r="J91" i="11" s="1"/>
  <c r="F108" i="19"/>
  <c r="F103" i="19"/>
  <c r="G95" i="19"/>
  <c r="G53" i="14"/>
  <c r="G48" i="14" s="1"/>
  <c r="G108" i="19"/>
  <c r="G118" i="14"/>
  <c r="G113" i="14" s="1"/>
  <c r="G103" i="19"/>
  <c r="G105" i="14"/>
  <c r="G100" i="14" s="1"/>
  <c r="G102" i="19"/>
  <c r="G92" i="14"/>
  <c r="G87" i="14" s="1"/>
  <c r="I113" i="14"/>
  <c r="G110" i="19"/>
  <c r="G144" i="14"/>
  <c r="G139" i="14" s="1"/>
  <c r="K81" i="14"/>
  <c r="J52" i="11" s="1"/>
  <c r="F110" i="19"/>
  <c r="F98" i="19"/>
  <c r="G98" i="19"/>
  <c r="G66" i="14"/>
  <c r="G61" i="14" s="1"/>
  <c r="K55" i="14"/>
  <c r="J26" i="11" s="1"/>
  <c r="F109" i="19"/>
  <c r="E131" i="14"/>
  <c r="F102" i="19"/>
  <c r="E92" i="14"/>
  <c r="E3" i="15"/>
  <c r="F99" i="19"/>
  <c r="E79" i="14"/>
  <c r="G99" i="19"/>
  <c r="G79" i="14"/>
  <c r="G74" i="14" s="1"/>
  <c r="K54" i="14"/>
  <c r="J25" i="11" s="1"/>
  <c r="G109" i="19"/>
  <c r="G131" i="14"/>
  <c r="G126" i="14" s="1"/>
  <c r="E53" i="14" l="1"/>
  <c r="E48" i="14" s="1"/>
  <c r="C3" i="15" s="1"/>
  <c r="CA11" i="25"/>
  <c r="CP11" i="25"/>
  <c r="G37" i="25"/>
  <c r="CS37" i="25" s="1"/>
  <c r="L52" i="11" s="1"/>
  <c r="CP37" i="25"/>
  <c r="G76" i="25"/>
  <c r="CS76" i="25" s="1"/>
  <c r="L91" i="11" s="1"/>
  <c r="CP76" i="25"/>
  <c r="G89" i="25"/>
  <c r="CS89" i="25" s="1"/>
  <c r="L104" i="11" s="1"/>
  <c r="CP89" i="25"/>
  <c r="G63" i="25"/>
  <c r="CS63" i="25" s="1"/>
  <c r="L78" i="11" s="1"/>
  <c r="CP63" i="25"/>
  <c r="G50" i="25"/>
  <c r="CS50" i="25" s="1"/>
  <c r="L65" i="11" s="1"/>
  <c r="CP50" i="25"/>
  <c r="G102" i="25"/>
  <c r="CS102" i="25" s="1"/>
  <c r="L117" i="11" s="1"/>
  <c r="CP102" i="25"/>
  <c r="P11" i="25"/>
  <c r="P77" i="19"/>
  <c r="Q77" i="19" s="1"/>
  <c r="R77" i="19" s="1"/>
  <c r="S77" i="19" s="1"/>
  <c r="V9" i="25"/>
  <c r="Y9" i="25" s="1"/>
  <c r="AE9" i="25"/>
  <c r="AH9" i="25" s="1"/>
  <c r="CG24" i="25"/>
  <c r="CJ24" i="25" s="1"/>
  <c r="I26" i="19"/>
  <c r="J26" i="19" s="1"/>
  <c r="K26" i="19" s="1"/>
  <c r="L26" i="19" s="1"/>
  <c r="M26" i="19" s="1"/>
  <c r="N26" i="19" s="1"/>
  <c r="O26" i="19" s="1"/>
  <c r="AN24" i="25"/>
  <c r="AQ24" i="25" s="1"/>
  <c r="D24" i="25"/>
  <c r="AE11" i="25"/>
  <c r="AH11" i="25" s="1"/>
  <c r="V11" i="25"/>
  <c r="Y11" i="25" s="1"/>
  <c r="P23" i="19"/>
  <c r="Q23" i="19" s="1"/>
  <c r="R23" i="19" s="1"/>
  <c r="S23" i="19" s="1"/>
  <c r="AE100" i="25"/>
  <c r="AH100" i="25" s="1"/>
  <c r="V100" i="25"/>
  <c r="Y100" i="25" s="1"/>
  <c r="P92" i="19"/>
  <c r="Q92" i="19" s="1"/>
  <c r="R92" i="19" s="1"/>
  <c r="S92" i="19" s="1"/>
  <c r="C110" i="19"/>
  <c r="AN100" i="25"/>
  <c r="AQ100" i="25" s="1"/>
  <c r="D100" i="25"/>
  <c r="CG100" i="25"/>
  <c r="CJ100" i="25" s="1"/>
  <c r="C103" i="19"/>
  <c r="CG61" i="25"/>
  <c r="CJ61" i="25" s="1"/>
  <c r="D61" i="25"/>
  <c r="AN61" i="25"/>
  <c r="AQ61" i="25" s="1"/>
  <c r="P80" i="19"/>
  <c r="Q80" i="19" s="1"/>
  <c r="R80" i="19" s="1"/>
  <c r="S80" i="19" s="1"/>
  <c r="AE22" i="25"/>
  <c r="AH22" i="25" s="1"/>
  <c r="V22" i="25"/>
  <c r="Y22" i="25" s="1"/>
  <c r="C109" i="19"/>
  <c r="CG87" i="25"/>
  <c r="CJ87" i="25" s="1"/>
  <c r="D87" i="25"/>
  <c r="AN87" i="25"/>
  <c r="AQ87" i="25" s="1"/>
  <c r="P85" i="19"/>
  <c r="Q85" i="19" s="1"/>
  <c r="R85" i="19" s="1"/>
  <c r="S85" i="19" s="1"/>
  <c r="AE61" i="25"/>
  <c r="AH61" i="25" s="1"/>
  <c r="V61" i="25"/>
  <c r="Y61" i="25" s="1"/>
  <c r="C98" i="19"/>
  <c r="D22" i="25"/>
  <c r="CG22" i="25"/>
  <c r="CJ22" i="25" s="1"/>
  <c r="AN22" i="25"/>
  <c r="AQ22" i="25" s="1"/>
  <c r="P36" i="19"/>
  <c r="Q36" i="19" s="1"/>
  <c r="R36" i="19" s="1"/>
  <c r="S36" i="19" s="1"/>
  <c r="V76" i="25"/>
  <c r="Y76" i="25" s="1"/>
  <c r="AE76" i="25"/>
  <c r="AH76" i="25" s="1"/>
  <c r="V63" i="25"/>
  <c r="Y63" i="25" s="1"/>
  <c r="P31" i="19"/>
  <c r="Q31" i="19" s="1"/>
  <c r="R31" i="19" s="1"/>
  <c r="S31" i="19" s="1"/>
  <c r="AE63" i="25"/>
  <c r="AH63" i="25" s="1"/>
  <c r="C102" i="19"/>
  <c r="D48" i="25"/>
  <c r="CG48" i="25"/>
  <c r="CJ48" i="25" s="1"/>
  <c r="AN48" i="25"/>
  <c r="AQ48" i="25" s="1"/>
  <c r="D9" i="25"/>
  <c r="AN9" i="25"/>
  <c r="AQ9" i="25" s="1"/>
  <c r="CG9" i="25"/>
  <c r="CJ9" i="25" s="1"/>
  <c r="V74" i="25"/>
  <c r="Y74" i="25" s="1"/>
  <c r="P90" i="19"/>
  <c r="Q90" i="19" s="1"/>
  <c r="R90" i="19" s="1"/>
  <c r="S90" i="19" s="1"/>
  <c r="AE74" i="25"/>
  <c r="AH74" i="25" s="1"/>
  <c r="C108" i="19"/>
  <c r="CG74" i="25"/>
  <c r="CJ74" i="25" s="1"/>
  <c r="AN74" i="25"/>
  <c r="AQ74" i="25" s="1"/>
  <c r="D74" i="25"/>
  <c r="AE89" i="25"/>
  <c r="AH89" i="25" s="1"/>
  <c r="P37" i="19"/>
  <c r="Q37" i="19" s="1"/>
  <c r="R37" i="19" s="1"/>
  <c r="S37" i="19" s="1"/>
  <c r="V89" i="25"/>
  <c r="Y89" i="25" s="1"/>
  <c r="O98" i="19"/>
  <c r="P84" i="19"/>
  <c r="Q84" i="19" s="1"/>
  <c r="R84" i="19" s="1"/>
  <c r="S84" i="19" s="1"/>
  <c r="AE48" i="25"/>
  <c r="AH48" i="25" s="1"/>
  <c r="V48" i="25"/>
  <c r="Y48" i="25" s="1"/>
  <c r="P91" i="19"/>
  <c r="Q91" i="19" s="1"/>
  <c r="R91" i="19" s="1"/>
  <c r="S91" i="19" s="1"/>
  <c r="AE87" i="25"/>
  <c r="AH87" i="25" s="1"/>
  <c r="V87" i="25"/>
  <c r="Y87" i="25" s="1"/>
  <c r="V37" i="25"/>
  <c r="Y37" i="25" s="1"/>
  <c r="P27" i="19"/>
  <c r="Q27" i="19" s="1"/>
  <c r="R27" i="19" s="1"/>
  <c r="S27" i="19" s="1"/>
  <c r="AE37" i="25"/>
  <c r="AH37" i="25" s="1"/>
  <c r="P81" i="19"/>
  <c r="Q81" i="19" s="1"/>
  <c r="R81" i="19" s="1"/>
  <c r="S81" i="19" s="1"/>
  <c r="AE35" i="25"/>
  <c r="AH35" i="25" s="1"/>
  <c r="C99" i="19"/>
  <c r="CG35" i="25"/>
  <c r="CJ35" i="25" s="1"/>
  <c r="AN35" i="25"/>
  <c r="AQ35" i="25" s="1"/>
  <c r="D35" i="25"/>
  <c r="V50" i="25"/>
  <c r="Y50" i="25" s="1"/>
  <c r="P30" i="19"/>
  <c r="Q30" i="19" s="1"/>
  <c r="R30" i="19" s="1"/>
  <c r="S30" i="19" s="1"/>
  <c r="AE50" i="25"/>
  <c r="AH50" i="25" s="1"/>
  <c r="AE102" i="25"/>
  <c r="AH102" i="25" s="1"/>
  <c r="V102" i="25"/>
  <c r="Y102" i="25" s="1"/>
  <c r="P38" i="19"/>
  <c r="Q38" i="19" s="1"/>
  <c r="R38" i="19" s="1"/>
  <c r="S38" i="19" s="1"/>
  <c r="P9" i="25"/>
  <c r="CQ4" i="25"/>
  <c r="CP4" i="25"/>
  <c r="P87" i="25"/>
  <c r="CP82" i="25"/>
  <c r="CQ82" i="25"/>
  <c r="CR82" i="25"/>
  <c r="P61" i="25"/>
  <c r="CQ56" i="25"/>
  <c r="CP56" i="25"/>
  <c r="CR56" i="25"/>
  <c r="P35" i="25"/>
  <c r="CR30" i="25"/>
  <c r="CQ30" i="25"/>
  <c r="CP30" i="25"/>
  <c r="P100" i="25"/>
  <c r="CP95" i="25"/>
  <c r="CQ95" i="25"/>
  <c r="CR95" i="25"/>
  <c r="P48" i="25"/>
  <c r="CP43" i="25"/>
  <c r="CQ43" i="25"/>
  <c r="CR43" i="25"/>
  <c r="P22" i="25"/>
  <c r="CR17" i="25"/>
  <c r="CQ17" i="25"/>
  <c r="P74" i="25"/>
  <c r="CR69" i="25"/>
  <c r="CQ69" i="25"/>
  <c r="CP69" i="25"/>
  <c r="E27" i="15"/>
  <c r="I149" i="14"/>
  <c r="E33" i="15" s="1"/>
  <c r="I110" i="14"/>
  <c r="I97" i="14"/>
  <c r="K131" i="14"/>
  <c r="E126" i="14"/>
  <c r="G71" i="14"/>
  <c r="D9" i="15" s="1"/>
  <c r="D7" i="15"/>
  <c r="D27" i="15"/>
  <c r="G136" i="14"/>
  <c r="D29" i="15" s="1"/>
  <c r="D23" i="15"/>
  <c r="G123" i="14"/>
  <c r="D25" i="15" s="1"/>
  <c r="K53" i="14"/>
  <c r="K144" i="14"/>
  <c r="E139" i="14"/>
  <c r="D3" i="15"/>
  <c r="G58" i="14"/>
  <c r="D5" i="15" s="1"/>
  <c r="K105" i="14"/>
  <c r="E100" i="14"/>
  <c r="D11" i="15"/>
  <c r="G84" i="14"/>
  <c r="D13" i="15" s="1"/>
  <c r="E23" i="15"/>
  <c r="I123" i="14"/>
  <c r="E25" i="15" s="1"/>
  <c r="K79" i="14"/>
  <c r="E74" i="14"/>
  <c r="E11" i="15"/>
  <c r="I84" i="14"/>
  <c r="E7" i="15"/>
  <c r="I71" i="14"/>
  <c r="E113" i="14"/>
  <c r="K118" i="14"/>
  <c r="D15" i="15"/>
  <c r="G97" i="14"/>
  <c r="D17" i="15" s="1"/>
  <c r="G110" i="14"/>
  <c r="D21" i="15" s="1"/>
  <c r="D19" i="15"/>
  <c r="E61" i="14"/>
  <c r="K66" i="14"/>
  <c r="I58" i="14"/>
  <c r="K92" i="14"/>
  <c r="E87" i="14"/>
  <c r="D31" i="15"/>
  <c r="G149" i="14"/>
  <c r="D33" i="15" s="1"/>
  <c r="E58" i="14" l="1"/>
  <c r="C5" i="15" s="1"/>
  <c r="CS11" i="25"/>
  <c r="L26" i="11" s="1"/>
  <c r="G100" i="25"/>
  <c r="CS100" i="25" s="1"/>
  <c r="L115" i="11" s="1"/>
  <c r="CP100" i="25"/>
  <c r="G9" i="25"/>
  <c r="CS9" i="25" s="1"/>
  <c r="L24" i="11" s="1"/>
  <c r="CP9" i="25"/>
  <c r="G22" i="25"/>
  <c r="CS22" i="25" s="1"/>
  <c r="L37" i="11" s="1"/>
  <c r="CP22" i="25"/>
  <c r="G48" i="25"/>
  <c r="CS48" i="25" s="1"/>
  <c r="L63" i="11" s="1"/>
  <c r="CP48" i="25"/>
  <c r="G35" i="25"/>
  <c r="CS35" i="25" s="1"/>
  <c r="L50" i="11" s="1"/>
  <c r="CP35" i="25"/>
  <c r="G74" i="25"/>
  <c r="CS74" i="25" s="1"/>
  <c r="L89" i="11" s="1"/>
  <c r="CP74" i="25"/>
  <c r="G87" i="25"/>
  <c r="CS87" i="25" s="1"/>
  <c r="L102" i="11" s="1"/>
  <c r="CP87" i="25"/>
  <c r="G24" i="25"/>
  <c r="CS24" i="25" s="1"/>
  <c r="L39" i="11" s="1"/>
  <c r="CP24" i="25"/>
  <c r="G61" i="25"/>
  <c r="CS61" i="25" s="1"/>
  <c r="L76" i="11" s="1"/>
  <c r="CP61" i="25"/>
  <c r="AE24" i="25"/>
  <c r="AH24" i="25" s="1"/>
  <c r="P26" i="19"/>
  <c r="Q26" i="19" s="1"/>
  <c r="R26" i="19" s="1"/>
  <c r="S26" i="19" s="1"/>
  <c r="V24" i="25"/>
  <c r="Y24" i="25" s="1"/>
  <c r="CS56" i="25"/>
  <c r="L71" i="11" s="1"/>
  <c r="CS95" i="25"/>
  <c r="L110" i="11" s="1"/>
  <c r="CS69" i="25"/>
  <c r="L84" i="11" s="1"/>
  <c r="CS43" i="25"/>
  <c r="L58" i="11" s="1"/>
  <c r="CS82" i="25"/>
  <c r="L97" i="11" s="1"/>
  <c r="L19" i="11"/>
  <c r="CS30" i="25"/>
  <c r="L45" i="11" s="1"/>
  <c r="J50" i="11"/>
  <c r="L74" i="14"/>
  <c r="K45" i="11" s="1"/>
  <c r="J63" i="11"/>
  <c r="L87" i="14"/>
  <c r="K58" i="11" s="1"/>
  <c r="J37" i="11"/>
  <c r="J19" i="11"/>
  <c r="K19" i="11"/>
  <c r="J76" i="11"/>
  <c r="L100" i="14"/>
  <c r="K71" i="11" s="1"/>
  <c r="J115" i="11"/>
  <c r="L139" i="14"/>
  <c r="K110" i="11" s="1"/>
  <c r="J102" i="11"/>
  <c r="L126" i="14"/>
  <c r="K97" i="11" s="1"/>
  <c r="J89" i="11"/>
  <c r="L113" i="14"/>
  <c r="K84" i="11" s="1"/>
  <c r="J24" i="11"/>
  <c r="E13" i="15"/>
  <c r="E5" i="15"/>
  <c r="E21" i="15"/>
  <c r="E9" i="15"/>
  <c r="E17" i="15"/>
  <c r="J110" i="11"/>
  <c r="J58" i="11"/>
  <c r="J84" i="11"/>
  <c r="J97" i="11"/>
  <c r="J45" i="11"/>
  <c r="J32" i="11"/>
  <c r="J71" i="11"/>
  <c r="D4" i="15"/>
  <c r="C23" i="15"/>
  <c r="E24" i="15" s="1"/>
  <c r="E123" i="14"/>
  <c r="C25" i="15" s="1"/>
  <c r="C31" i="15"/>
  <c r="D32" i="15" s="1"/>
  <c r="E149" i="14"/>
  <c r="C33" i="15" s="1"/>
  <c r="C11" i="15"/>
  <c r="E12" i="15" s="1"/>
  <c r="E84" i="14"/>
  <c r="C13" i="15" s="1"/>
  <c r="E4" i="15"/>
  <c r="E71" i="14"/>
  <c r="C9" i="15" s="1"/>
  <c r="C7" i="15"/>
  <c r="D8" i="15" s="1"/>
  <c r="C19" i="15"/>
  <c r="D20" i="15" s="1"/>
  <c r="E110" i="14"/>
  <c r="C21" i="15" s="1"/>
  <c r="C15" i="15"/>
  <c r="D16" i="15" s="1"/>
  <c r="E97" i="14"/>
  <c r="C17" i="15" s="1"/>
  <c r="C27" i="15"/>
  <c r="D28" i="15" s="1"/>
  <c r="E136" i="14"/>
  <c r="C29" i="15" s="1"/>
  <c r="C4" i="15"/>
  <c r="F4" i="15"/>
  <c r="N58" i="11" l="1"/>
  <c r="T19" i="11" s="1"/>
  <c r="C29" i="30" s="1"/>
  <c r="D29" i="30" s="1"/>
  <c r="M58" i="11"/>
  <c r="S19" i="11" s="1"/>
  <c r="N19" i="11"/>
  <c r="T20" i="11" s="1"/>
  <c r="C31" i="30" s="1"/>
  <c r="N45" i="11"/>
  <c r="T22" i="11" s="1"/>
  <c r="C35" i="30" s="1"/>
  <c r="D35" i="30" s="1"/>
  <c r="M45" i="11"/>
  <c r="S22" i="11" s="1"/>
  <c r="M19" i="11"/>
  <c r="S20" i="11" s="1"/>
  <c r="M32" i="11"/>
  <c r="S23" i="11" s="1"/>
  <c r="D37" i="30"/>
  <c r="N84" i="11"/>
  <c r="T26" i="11" s="1"/>
  <c r="C43" i="30" s="1"/>
  <c r="D43" i="30" s="1"/>
  <c r="N97" i="11"/>
  <c r="T24" i="11" s="1"/>
  <c r="C39" i="30" s="1"/>
  <c r="D39" i="30" s="1"/>
  <c r="N110" i="11"/>
  <c r="T25" i="11" s="1"/>
  <c r="C41" i="30" s="1"/>
  <c r="D41" i="30" s="1"/>
  <c r="N71" i="11"/>
  <c r="T21" i="11" s="1"/>
  <c r="C33" i="30" s="1"/>
  <c r="M71" i="11"/>
  <c r="S21" i="11" s="1"/>
  <c r="M84" i="11"/>
  <c r="S26" i="11" s="1"/>
  <c r="M110" i="11"/>
  <c r="S25" i="11" s="1"/>
  <c r="M97" i="11"/>
  <c r="S24" i="11" s="1"/>
  <c r="H19" i="15"/>
  <c r="H11" i="15"/>
  <c r="H27" i="15"/>
  <c r="H23" i="15"/>
  <c r="H15" i="15"/>
  <c r="H7" i="15"/>
  <c r="H31" i="15"/>
  <c r="H3" i="15"/>
  <c r="D12" i="15"/>
  <c r="D24" i="15"/>
  <c r="E8" i="15"/>
  <c r="H5" i="15"/>
  <c r="C34" i="14" s="1"/>
  <c r="C28" i="15"/>
  <c r="F28" i="15"/>
  <c r="E28" i="15"/>
  <c r="C12" i="15"/>
  <c r="F12" i="15"/>
  <c r="C8" i="15"/>
  <c r="F8" i="15"/>
  <c r="C16" i="15"/>
  <c r="F16" i="15"/>
  <c r="E16" i="15"/>
  <c r="C20" i="15"/>
  <c r="F20" i="15"/>
  <c r="E20" i="15"/>
  <c r="C32" i="15"/>
  <c r="F32" i="15"/>
  <c r="E32" i="15"/>
  <c r="C24" i="15"/>
  <c r="F24" i="15"/>
  <c r="D31" i="30" l="1"/>
  <c r="C16" i="30"/>
  <c r="A16" i="30" s="1"/>
  <c r="I40" i="30"/>
  <c r="A38" i="30"/>
  <c r="A36" i="30"/>
  <c r="B36" i="30"/>
  <c r="B38" i="30"/>
  <c r="D33" i="30"/>
  <c r="B34" i="30"/>
  <c r="A34" i="30"/>
  <c r="G41" i="30"/>
  <c r="A30" i="30"/>
  <c r="B30" i="30"/>
  <c r="A32" i="30"/>
  <c r="B32" i="30"/>
  <c r="A42" i="30"/>
  <c r="B42" i="30"/>
  <c r="A40" i="30"/>
  <c r="B40" i="30"/>
  <c r="A44" i="30"/>
  <c r="B44" i="30"/>
  <c r="H33" i="15"/>
  <c r="C41" i="14" s="1"/>
  <c r="H13" i="15"/>
  <c r="C36" i="14" s="1"/>
  <c r="H25" i="15"/>
  <c r="C39" i="14" s="1"/>
  <c r="H29" i="15"/>
  <c r="C40" i="14" s="1"/>
  <c r="H21" i="15"/>
  <c r="C38" i="14" s="1"/>
  <c r="H9" i="15"/>
  <c r="C35" i="14" s="1"/>
  <c r="H17" i="15"/>
  <c r="C37" i="14" s="1"/>
  <c r="F36" i="30" l="1"/>
  <c r="F13" i="30" s="1"/>
  <c r="F19" i="30"/>
  <c r="B16" i="30"/>
  <c r="E33" i="14"/>
  <c r="K21" i="10" l="1"/>
  <c r="K20" i="10"/>
  <c r="P20" i="10" s="1"/>
  <c r="Q14" i="9"/>
  <c r="P14" i="9"/>
  <c r="O14" i="9"/>
  <c r="N14" i="9"/>
  <c r="K10" i="8"/>
  <c r="C10" i="30" s="1"/>
  <c r="C11" i="30" l="1"/>
  <c r="K17" i="9"/>
  <c r="P3" i="9" s="1"/>
  <c r="N20" i="10"/>
  <c r="O20" i="10"/>
  <c r="K23" i="10" s="1"/>
  <c r="C12" i="30" s="1"/>
  <c r="C13" i="30" s="1"/>
  <c r="R46" i="9"/>
  <c r="R47" i="9" s="1"/>
  <c r="H38" i="9" s="1"/>
  <c r="Q3" i="9" s="1"/>
  <c r="R3" i="9" l="1"/>
  <c r="S3" i="9" s="1"/>
  <c r="C14" i="30" s="1"/>
  <c r="C15" i="30" s="1"/>
  <c r="H31" i="3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Stuart Walker</author>
  </authors>
  <commentList>
    <comment ref="C11" authorId="0" shapeId="0" xr:uid="{19FB7105-7D4F-42A2-B142-744B9E97AE62}">
      <text>
        <r>
          <rPr>
            <sz val="9"/>
            <color indexed="81"/>
            <rFont val="Tahoma"/>
            <family val="2"/>
          </rPr>
          <t>Enter the location in which the packaging is manufactured.</t>
        </r>
      </text>
    </comment>
    <comment ref="C24" authorId="0" shapeId="0" xr:uid="{A70C3989-EB9E-4F3D-B49F-3F04F752F497}">
      <text>
        <r>
          <rPr>
            <sz val="9"/>
            <color rgb="FF000000"/>
            <rFont val="Tahoma"/>
            <family val="2"/>
          </rPr>
          <t>Select the closest matching material. If your packaging only has one maerial, set the percentage mass to 100% and other materials will be ignored</t>
        </r>
      </text>
    </comment>
    <comment ref="C25" authorId="0" shapeId="0" xr:uid="{9416DFD3-E9BB-4ED6-9774-97E8949CC212}">
      <text>
        <r>
          <rPr>
            <sz val="9"/>
            <color rgb="FF000000"/>
            <rFont val="Tahoma"/>
            <family val="2"/>
          </rPr>
          <t>Select the closest matching manufacturing process for the material above</t>
        </r>
      </text>
    </comment>
    <comment ref="C26" authorId="0" shapeId="0" xr:uid="{ADD788BC-B762-42E6-BF5A-092E0536DAA5}">
      <text>
        <r>
          <rPr>
            <sz val="9"/>
            <color rgb="FF000000"/>
            <rFont val="Tahoma"/>
            <family val="2"/>
          </rPr>
          <t>Enter the proportion of the total reusable product mass of each part. If you only have one or two parts, enter 0 in the other boxes and ignore the material and manufacturing lines above</t>
        </r>
      </text>
    </comment>
    <comment ref="C29" authorId="0" shapeId="0" xr:uid="{DBD0AB52-71BE-4E6F-BA92-AD8EC9FF2F67}">
      <text>
        <r>
          <rPr>
            <sz val="9"/>
            <color indexed="81"/>
            <rFont val="Tahoma"/>
            <family val="2"/>
          </rPr>
          <t>Enter the first and (if relevant) second washing processes used. If only one process is used, select the blank line in the second column</t>
        </r>
      </text>
    </comment>
    <comment ref="C30" authorId="0" shapeId="0" xr:uid="{A627A6DD-EAF7-40AF-9AFE-AC675E3A1DC9}">
      <text>
        <r>
          <rPr>
            <sz val="9"/>
            <color rgb="FF000000"/>
            <rFont val="Tahoma"/>
            <family val="2"/>
          </rPr>
          <t>Enter the minimum number of reuses you realistically expect the project to achieve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Stuart Walker</author>
  </authors>
  <commentList>
    <comment ref="D11" authorId="0" shapeId="0" xr:uid="{0FC9C4F3-8DA5-4EE8-B817-62FD9659F27F}">
      <text>
        <r>
          <rPr>
            <sz val="9"/>
            <color rgb="FF000000"/>
            <rFont val="Tahoma"/>
            <family val="2"/>
          </rPr>
          <t>What percentage of the components that go into the product are reused?</t>
        </r>
      </text>
    </comment>
    <comment ref="D12" authorId="0" shapeId="0" xr:uid="{9837F143-E408-4357-9E27-6AE553CF1D38}">
      <text>
        <r>
          <rPr>
            <sz val="9"/>
            <color rgb="FF000000"/>
            <rFont val="Tahoma"/>
            <family val="2"/>
          </rPr>
          <t>At the end of life, what percentage are collected for re-use...</t>
        </r>
      </text>
    </comment>
    <comment ref="D13" authorId="0" shapeId="0" xr:uid="{B0EF822A-7A40-4A7F-8D08-4D51951BCE95}">
      <text>
        <r>
          <rPr>
            <sz val="9"/>
            <color indexed="81"/>
            <rFont val="Tahoma"/>
            <family val="2"/>
          </rPr>
          <t>…or recycling?</t>
        </r>
      </text>
    </comment>
    <comment ref="D16" authorId="0" shapeId="0" xr:uid="{A07C0D20-4B9A-4B0D-BB59-C67D14613753}">
      <text>
        <r>
          <rPr>
            <sz val="9"/>
            <color indexed="81"/>
            <rFont val="Tahoma"/>
            <family val="2"/>
          </rPr>
          <t>How many times per year will the product be used?</t>
        </r>
      </text>
    </comment>
    <comment ref="D18" authorId="0" shapeId="0" xr:uid="{75453357-16BF-40C0-A6BB-0C9675D17950}">
      <text>
        <r>
          <rPr>
            <sz val="9"/>
            <color rgb="FF000000"/>
            <rFont val="Tahoma"/>
            <family val="2"/>
          </rPr>
          <t xml:space="preserve">What is the material quality used in the product (the input material quality)?
</t>
        </r>
        <r>
          <rPr>
            <sz val="9"/>
            <color rgb="FF000000"/>
            <rFont val="Tahoma"/>
            <family val="2"/>
          </rPr>
          <t>If unknown, an estimated value of 0.9 could be used</t>
        </r>
      </text>
    </comment>
    <comment ref="D19" authorId="0" shapeId="0" xr:uid="{FAD87C1C-B492-4546-B4D8-0F1821D71DC9}">
      <text>
        <r>
          <rPr>
            <sz val="9"/>
            <color indexed="81"/>
            <rFont val="Tahoma"/>
            <family val="2"/>
          </rPr>
          <t>And what is the output material quality?
If unknown, an estimated value of 0.6 could be used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Stuart Walker</author>
  </authors>
  <commentList>
    <comment ref="C12" authorId="0" shapeId="0" xr:uid="{C938FF84-AC35-472B-BC13-88F04BA315B8}">
      <text>
        <r>
          <rPr>
            <sz val="9"/>
            <color indexed="81"/>
            <rFont val="Tahoma"/>
            <family val="2"/>
          </rPr>
          <t>Enter the cost to the retailler of each product. For the reusable product, this should exclude the cost of washing.</t>
        </r>
      </text>
    </comment>
    <comment ref="C19" authorId="0" shapeId="0" xr:uid="{F3068C3E-0312-45D6-9B3F-ED0A99D87832}">
      <text>
        <r>
          <rPr>
            <sz val="9"/>
            <color indexed="81"/>
            <rFont val="Tahoma"/>
            <family val="2"/>
          </rPr>
          <t>If information is unknown in any case, the third option should be selected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tc={87CD807D-B2A4-4415-B88D-1AD5FC33235B}</author>
  </authors>
  <commentList>
    <comment ref="U13" authorId="0" shapeId="0" xr:uid="{87CD807D-B2A4-4415-B88D-1AD5FC33235B}">
      <text>
        <t>[Threaded comment]
Your version of Excel allows you to read this threaded comment; however, any edits to it will get removed if the file is opened in a newer version of Excel. Learn more: https://go.microsoft.com/fwlink/?linkid=870924
Comment:
    Reversed these as we think they were wrong - but do some tests to check!</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tc={7A8F4EB8-4037-42D5-A3EF-B0B23A8463BC}</author>
    <author>tc={FCD9DC5B-8074-4434-BFF8-A5987E70F5B5}</author>
    <author>tc={22A9218F-7E4B-4069-8280-36DC44242115}</author>
    <author>tc={A536D525-BCB0-47FD-BFF5-1E7EF7A65CAB}</author>
  </authors>
  <commentList>
    <comment ref="E3" authorId="0" shapeId="0" xr:uid="{7A8F4EB8-4037-42D5-A3EF-B0B23A8463BC}">
      <text>
        <t>[Threaded comment]
Your version of Excel allows you to read this threaded comment; however, any edits to it will get removed if the file is opened in a newer version of Excel. Learn more: https://go.microsoft.com/fwlink/?linkid=870924
Comment:
    volume is used to calculate washing impact</t>
      </text>
    </comment>
    <comment ref="G3" authorId="1" shapeId="0" xr:uid="{FCD9DC5B-8074-4434-BFF8-A5987E70F5B5}">
      <text>
        <t>[Threaded comment]
Your version of Excel allows you to read this threaded comment; however, any edits to it will get removed if the file is opened in a newer version of Excel. Learn more: https://go.microsoft.com/fwlink/?linkid=870924
Comment:
    Add into input tab</t>
      </text>
    </comment>
    <comment ref="D9" authorId="2" shapeId="0" xr:uid="{22A9218F-7E4B-4069-8280-36DC44242115}">
      <text>
        <t>[Threaded comment]
Your version of Excel allows you to read this threaded comment; however, any edits to it will get removed if the file is opened in a newer version of Excel. Learn more: https://go.microsoft.com/fwlink/?linkid=870924
Comment:
    Add into input tab</t>
      </text>
    </comment>
    <comment ref="F13" authorId="3" shapeId="0" xr:uid="{A536D525-BCB0-47FD-BFF5-1E7EF7A65CAB}">
      <text>
        <t xml:space="preserve">[Threaded comment]
Your version of Excel allows you to read this threaded comment; however, any edits to it will get removed if the file is opened in a newer version of Excel. Learn more: https://go.microsoft.com/fwlink/?linkid=870924
Comment:
    Add into input tab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GIRAUD Damien</author>
  </authors>
  <commentList>
    <comment ref="A1" authorId="0" shapeId="0" xr:uid="{A797A472-C783-40E2-9488-629B43C7670E}">
      <text>
        <r>
          <rPr>
            <b/>
            <sz val="9"/>
            <color indexed="81"/>
            <rFont val="Tahoma"/>
            <family val="2"/>
          </rPr>
          <t>Impact de la prodution d'1kg de TP. Résultats utilisés pour la partie "impact matière vierge" dans le calcul de la CFF</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GIRAUD Damien</author>
    <author>tc={DE8E4BA2-E6CA-4871-88ED-0D9E647E1039}</author>
  </authors>
  <commentList>
    <comment ref="M3" authorId="0" shapeId="0" xr:uid="{BF78B957-30DE-4A06-8BB5-1776DCEF4743}">
      <text>
        <r>
          <rPr>
            <b/>
            <sz val="9"/>
            <color indexed="81"/>
            <rFont val="Tahoma"/>
            <family val="2"/>
          </rPr>
          <t xml:space="preserve">Si pas de référence, voir dans la biblio les caractérisitques méca par exemple d'une MPR et faire le ratio vis-à-vis du vierge
</t>
        </r>
        <r>
          <rPr>
            <sz val="9"/>
            <color indexed="81"/>
            <rFont val="Tahoma"/>
            <family val="2"/>
          </rPr>
          <t xml:space="preserve">
</t>
        </r>
      </text>
    </comment>
    <comment ref="T3" authorId="1" shapeId="0" xr:uid="{DE8E4BA2-E6CA-4871-88ED-0D9E647E1039}">
      <text>
        <t>[Threaded comment]
Your version of Excel allows you to read this threaded comment; however, any edits to it will get removed if the file is opened in a newer version of Excel. Learn more: https://go.microsoft.com/fwlink/?linkid=870924
Comment:
    I copied and pasted as values, but originally these values were from ='https://ctipc0-my.sharepoint.com/personal/damien_giraud_ct-ipc_com1/Documents/Bureau/PFR Damien/travail/[matrice indicateur PMCB - DGiraud v3.xlsx]baseF2V'!
the first value was from cell AZ5 of that sheet, then they went down (AZ6, AZ7…)
Next set started G5, then AP5, then AF5, then the last two sets come from DGbase in this workbook</t>
      </text>
    </comment>
    <comment ref="U3" authorId="0" shapeId="0" xr:uid="{ACDE810C-ACEB-4545-9E2B-6EB08E484AA8}">
      <text>
        <r>
          <rPr>
            <sz val="9"/>
            <color indexed="81"/>
            <rFont val="Tahoma"/>
            <family val="2"/>
          </rPr>
          <t xml:space="preserve">Idem à Ev si pas de modofication entre MPR de sortie et d'entrée
</t>
        </r>
      </text>
    </comment>
    <comment ref="V3" authorId="0" shapeId="0" xr:uid="{641A0A06-4AAE-46F7-A6F9-09DE4464FDF3}">
      <text>
        <r>
          <rPr>
            <b/>
            <sz val="9"/>
            <color indexed="81"/>
            <rFont val="Tahoma"/>
            <family val="2"/>
          </rPr>
          <t xml:space="preserve">Si pas de référence, voir dans la biblio les caractérisitques méca par exemple d'une MPR et faire le ratio vis-à-vis du vierge
</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GIRAUD Damien</author>
  </authors>
  <commentList>
    <comment ref="A22" authorId="0" shapeId="0" xr:uid="{FF80223A-031D-4968-A1D9-6C1538F4169F}">
      <text>
        <r>
          <rPr>
            <b/>
            <sz val="9"/>
            <color indexed="81"/>
            <rFont val="Tahoma"/>
            <family val="2"/>
          </rPr>
          <t>Résultats d'impact de la partie matière recyclé en sortie de la CFF.  Valeurs utilisées pour le calcul de l'indicateur</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GIRAUD Damien</author>
    <author>tc={ACE6D786-952A-4212-9B3C-4943EC6E3A00}</author>
    <author>tc={20F38E03-C5E7-4743-94EE-68F5DC2EE0AC}</author>
  </authors>
  <commentList>
    <comment ref="C2" authorId="0" shapeId="0" xr:uid="{9BA8DA69-5793-425E-9A4E-4C5FEDDD7A0A}">
      <text>
        <r>
          <rPr>
            <b/>
            <sz val="9"/>
            <color indexed="81"/>
            <rFont val="Tahoma"/>
            <family val="2"/>
          </rPr>
          <t>Heat, central or small-scale, natural gas {RER}| market group for | Cut-off, U</t>
        </r>
        <r>
          <rPr>
            <sz val="9"/>
            <color indexed="81"/>
            <rFont val="Tahoma"/>
            <family val="2"/>
          </rPr>
          <t xml:space="preserve">
</t>
        </r>
      </text>
    </comment>
    <comment ref="D2" authorId="0" shapeId="0" xr:uid="{76DD29F8-5DDC-43C3-BA67-2145086E6CA1}">
      <text>
        <r>
          <rPr>
            <b/>
            <sz val="9"/>
            <color indexed="81"/>
            <rFont val="Tahoma"/>
            <family val="2"/>
          </rPr>
          <t>Electricity, medium voltage {FR}| market for | Cut-off, U</t>
        </r>
        <r>
          <rPr>
            <sz val="9"/>
            <color indexed="81"/>
            <rFont val="Tahoma"/>
            <family val="2"/>
          </rPr>
          <t xml:space="preserve">
</t>
        </r>
      </text>
    </comment>
    <comment ref="C19" authorId="1" shapeId="0" xr:uid="{ACE6D786-952A-4212-9B3C-4943EC6E3A00}">
      <text>
        <t>[Threaded comment]
Your version of Excel allows you to read this threaded comment; however, any edits to it will get removed if the file is opened in a newer version of Excel. Learn more: https://go.microsoft.com/fwlink/?linkid=870924
Comment:
    This was 'https://ctipc0-my.sharepoint.com/personal/damien_giraud_ct-ipc_com1/Documents/Bureau/PFR Damien/travail/[matrice indicateur PMCB - DGiraud v3.xlsx]baseH2O'!EN2</t>
      </text>
    </comment>
    <comment ref="D19" authorId="2" shapeId="0" xr:uid="{20F38E03-C5E7-4743-94EE-68F5DC2EE0AC}">
      <text>
        <t>[Threaded comment]
Your version of Excel allows you to read this threaded comment; however, any edits to it will get removed if the file is opened in a newer version of Excel. Learn more: https://go.microsoft.com/fwlink/?linkid=870924
Comment:
    This was 'https://ctipc0-my.sharepoint.com/personal/damien_giraud_ct-ipc_com1/Documents/Bureau/PFR Damien/travail/[matrice indicateur PMCB - DGiraud v3.xlsx]baseH2O'!EP2</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<sst xmlns="http://schemas.openxmlformats.org/spreadsheetml/2006/main" count="5320" uniqueCount="825">
  <si>
    <t xml:space="preserve">4.	Circularity indicator calculation tool structure 
4.1.	Tool interface
As explained before, the method described in this document will be translated in an Excel based Circular indicator calculation tool (Circular tool). The structure of the defined circular tool will be as follow:
•	Life cycle information
•	One social spreadsheet
•	One PCI spreadsheet
•	One Value spreadsheet
•	One result spreadsheet
•	Databases spreadsheets
The aim is that the first spreadsheet captures most of the necessary information, which is then used for the environmental and economic impact calculations. This will be supplemented by additional parameters in the other spreadsheets to calculate the other indicators.
</t>
  </si>
  <si>
    <t>4.2.	Results presentation
It has been decided that each score would be presented separately, as aggregation would blur the message. Moreover, not all indicators have the same unit and scale: the BEP for environmental, social and economic impact each give a number of uses from 1 to infinite, whereas the other scores have a scale from 0 to 1.</t>
  </si>
  <si>
    <t>Calculation: Circular Flow of Resources</t>
  </si>
  <si>
    <t>Calculation: Value</t>
  </si>
  <si>
    <t>Over-Packaging</t>
  </si>
  <si>
    <t>Product waste</t>
  </si>
  <si>
    <t>Material safety</t>
  </si>
  <si>
    <t>Calculation: Sustainable development</t>
  </si>
  <si>
    <t>Environmental impact</t>
  </si>
  <si>
    <t>Economic impact</t>
  </si>
  <si>
    <t>Social impact</t>
  </si>
  <si>
    <t>Total littering</t>
  </si>
  <si>
    <t>Indicator \ Life cycle step</t>
  </si>
  <si>
    <t>Material</t>
  </si>
  <si>
    <t>Manufacturing</t>
  </si>
  <si>
    <t>Use</t>
  </si>
  <si>
    <t>EOL</t>
  </si>
  <si>
    <t>Circular flow of resources</t>
  </si>
  <si>
    <t>Product Circularity Indicator (PCI)</t>
  </si>
  <si>
    <t>x</t>
  </si>
  <si>
    <t>Value</t>
  </si>
  <si>
    <t xml:space="preserve"> </t>
  </si>
  <si>
    <t>Food waste</t>
  </si>
  <si>
    <t>Sustainable Development</t>
  </si>
  <si>
    <t>Environnemental impact</t>
  </si>
  <si>
    <t>BEP on:</t>
  </si>
  <si>
    <t>·        Retrievability</t>
  </si>
  <si>
    <t>·        Design for conservation</t>
  </si>
  <si>
    <t>·        UP Scorecard “Chemicals of Concern”</t>
  </si>
  <si>
    <t>·        Acidification</t>
  </si>
  <si>
    <t>·        Climate Change</t>
  </si>
  <si>
    <t>·        Eutrophication, freshwater</t>
  </si>
  <si>
    <t>·        Particulate matter</t>
  </si>
  <si>
    <t>·        Photochemical ozone formation</t>
  </si>
  <si>
    <t>·        Resource use, fossils</t>
  </si>
  <si>
    <t>·        Resource use, minerals and metals</t>
  </si>
  <si>
    <t>·        Water use</t>
  </si>
  <si>
    <t>·        BEP</t>
  </si>
  <si>
    <t>Description</t>
  </si>
  <si>
    <t>Title</t>
  </si>
  <si>
    <t>Unit</t>
  </si>
  <si>
    <t>Calculated(no user input)</t>
  </si>
  <si>
    <t>Secondary data acceptable</t>
  </si>
  <si>
    <t>Fraction of reused components</t>
  </si>
  <si>
    <t>Fu</t>
  </si>
  <si>
    <t>%</t>
  </si>
  <si>
    <t>Fraction Recycled content of material</t>
  </si>
  <si>
    <t>Fr</t>
  </si>
  <si>
    <t>yes</t>
  </si>
  <si>
    <t>Total mass</t>
  </si>
  <si>
    <t>M</t>
  </si>
  <si>
    <t>kg, T</t>
  </si>
  <si>
    <t>Efficiency of component production</t>
  </si>
  <si>
    <t>Ecp</t>
  </si>
  <si>
    <t>Efficiency of raw material production</t>
  </si>
  <si>
    <t>Efp</t>
  </si>
  <si>
    <t>Efficiency of recycled material production</t>
  </si>
  <si>
    <t>Efrp</t>
  </si>
  <si>
    <t>Efficiency of material separation</t>
  </si>
  <si>
    <t>Ems</t>
  </si>
  <si>
    <t>Fraction of recovered material losses: component production</t>
  </si>
  <si>
    <t>Ccp</t>
  </si>
  <si>
    <t>Fraction of recovered material loss: raw material production</t>
  </si>
  <si>
    <t>Cfp</t>
  </si>
  <si>
    <t>Fraction of end-of-use products collected for re-use</t>
  </si>
  <si>
    <t>Cu</t>
  </si>
  <si>
    <t>Fraction of end-of-use products collected for recycling</t>
  </si>
  <si>
    <t>Cr, CR</t>
  </si>
  <si>
    <t>The available or used life of the product (years), for the product evaluated</t>
  </si>
  <si>
    <t>L</t>
  </si>
  <si>
    <t>y</t>
  </si>
  <si>
    <t>The expected life of the product (in years) based on a market study or industry standard / average.</t>
  </si>
  <si>
    <t>Ld</t>
  </si>
  <si>
    <t>The intensity of use available or used (uses per year)</t>
  </si>
  <si>
    <t>I</t>
  </si>
  <si>
    <t>nb/y</t>
  </si>
  <si>
    <t>The intensity of use expected (uses per year)</t>
  </si>
  <si>
    <t>Id</t>
  </si>
  <si>
    <t>Material quality factor used in the product (if known)</t>
  </si>
  <si>
    <t>Qin</t>
  </si>
  <si>
    <t>0 - 1</t>
  </si>
  <si>
    <t>Material quality factor derived from the product (if known)</t>
  </si>
  <si>
    <t>Qout</t>
  </si>
  <si>
    <t>Actual number of uses during the product lifetime</t>
  </si>
  <si>
    <t>U</t>
  </si>
  <si>
    <t>nb</t>
  </si>
  <si>
    <t>-</t>
  </si>
  <si>
    <t>Expected number of uses of the product during lifetime</t>
  </si>
  <si>
    <t>Ud</t>
  </si>
  <si>
    <t>Virgin material</t>
  </si>
  <si>
    <t>V</t>
  </si>
  <si>
    <t>Waste from feedstock production</t>
  </si>
  <si>
    <t>Wfp</t>
  </si>
  <si>
    <t>Waste from component production</t>
  </si>
  <si>
    <t>Wcp</t>
  </si>
  <si>
    <t>Uncollected EoL product</t>
  </si>
  <si>
    <t>Wu</t>
  </si>
  <si>
    <t>Waste from material separation</t>
  </si>
  <si>
    <t>Wms</t>
  </si>
  <si>
    <t>Waste from recycled feedstock production</t>
  </si>
  <si>
    <t>Wrfp</t>
  </si>
  <si>
    <t>Unrecoverable waste</t>
  </si>
  <si>
    <t>W</t>
  </si>
  <si>
    <t>Rfp</t>
  </si>
  <si>
    <t>Waste for component production</t>
  </si>
  <si>
    <t>Rcp</t>
  </si>
  <si>
    <t>Waste from EOL</t>
  </si>
  <si>
    <t>Reol</t>
  </si>
  <si>
    <t>Recycled material used for feedstock production</t>
  </si>
  <si>
    <t>Rin</t>
  </si>
  <si>
    <t>Recycled material recovered</t>
  </si>
  <si>
    <t>Rout</t>
  </si>
  <si>
    <t>Recycled material (net exchange)</t>
  </si>
  <si>
    <t>R</t>
  </si>
  <si>
    <t>Reused components (net exchange)</t>
  </si>
  <si>
    <t>C</t>
  </si>
  <si>
    <t>Amount of virgin feedstock in the linear system</t>
  </si>
  <si>
    <t>Amount of waste in the linear system</t>
  </si>
  <si>
    <t>Linear flow index</t>
  </si>
  <si>
    <t>LFI</t>
  </si>
  <si>
    <t>Linear flow index (material quality known)</t>
  </si>
  <si>
    <t>Utility factor (L/Ld)(I/Id) or (L/Ld)(U/Ud)</t>
  </si>
  <si>
    <t>X</t>
  </si>
  <si>
    <t>Vlinear</t>
  </si>
  <si>
    <t>Wlinear</t>
  </si>
  <si>
    <t>To translate that into a simple parameter, the formula proposed is the weight ratio between the single-use packaging and the reusable one. This will give a result between 0 and 1. When the reusable packaging tends towards the single-use one, the score will tend towards 1.</t>
  </si>
  <si>
    <t>Weight of single use packaging</t>
  </si>
  <si>
    <t>Weight of reusable packaging</t>
  </si>
  <si>
    <t>Primary data needed</t>
  </si>
  <si>
    <t>The two parameters are calculated on a scale from 1 to 3 and the total score for Product waste from 0 to 1 is given in Table 6:</t>
  </si>
  <si>
    <t xml:space="preserve">·        Retrievability: </t>
  </si>
  <si>
    <t xml:space="preserve">·        Design for conservation: </t>
  </si>
  <si>
    <t>Design for conservation</t>
  </si>
  <si>
    <t>Level 1</t>
  </si>
  <si>
    <t>Level 2</t>
  </si>
  <si>
    <t>Level 3</t>
  </si>
  <si>
    <t>Retrievability</t>
  </si>
  <si>
    <t>Inputs:</t>
  </si>
  <si>
    <t>Retrievability level</t>
  </si>
  <si>
    <t>Design for conservation level</t>
  </si>
  <si>
    <t>Ratio</t>
  </si>
  <si>
    <t>Final value</t>
  </si>
  <si>
    <t>Results:</t>
  </si>
  <si>
    <t>Presence</t>
  </si>
  <si>
    <t>Disclosure Level</t>
  </si>
  <si>
    <t>Level 0</t>
  </si>
  <si>
    <t>Compliance Level</t>
  </si>
  <si>
    <t>Level 4</t>
  </si>
  <si>
    <t>Compliance</t>
  </si>
  <si>
    <t>Disclosure</t>
  </si>
  <si>
    <t>Supplier is unable to provide information about in-scope chemicals of concern in the materials within the foodware or packaging component</t>
  </si>
  <si>
    <t xml:space="preserve">Supplier self-reports compliance with all in-scope chemicals of concern within the level </t>
  </si>
  <si>
    <t>Supplier provides a statement on their website or a written (preferably publicly available) declaration from an officer level representative of the company self-reporting compliance with all in scope chemicals of concern within the level</t>
  </si>
  <si>
    <t>Supplier provides third party verified certificates of analysis (CoA) and/or approved certification program equivalent (preferably publicly available) for all in-scope chemicals of concern within the level</t>
  </si>
  <si>
    <t>Intentionally contains (or may contain) chemicals of concern identified in Tier 1.</t>
  </si>
  <si>
    <t xml:space="preserve">Does not intentionally contain any chemicals of concern in Tier 1. </t>
  </si>
  <si>
    <t>Does not intentionally contain any per- and polyfluoroalkyl substance (PFAS). This is defined as a substance containing a fully fluorinated carbon atom or as containing a perfluorocarbon moiety (i.e. CF2) (Scientists’ Statement on Defining PFAS, 2024).</t>
  </si>
  <si>
    <t xml:space="preserve">Does not intentionally contain any of the chemicals of concern identified in Tier 1 (including all PFAS) and Tier 2. </t>
  </si>
  <si>
    <t>Does not intentionally contain any of the chemicals of concern identified in Tiers 1 (including all PFAS), 2, and 3.</t>
  </si>
  <si>
    <t>Does not intentionally contain any of the chemicals of concern identified in Tiers 1 (including all PFAS), 2, 3, and 4.</t>
  </si>
  <si>
    <t>(select from list)</t>
  </si>
  <si>
    <t>Material safety presence disclosure</t>
  </si>
  <si>
    <t xml:space="preserve">Material safety presence compliance </t>
  </si>
  <si>
    <t>Migration Potential Score=Inertness Score + Food and Material Interaction Score</t>
  </si>
  <si>
    <t>Component CoC Score=Presence Score+Migration Potential Score</t>
  </si>
  <si>
    <t>(presence)</t>
  </si>
  <si>
    <t>Migration Potential</t>
  </si>
  <si>
    <t>Inertness</t>
  </si>
  <si>
    <t>Food Contact Material</t>
  </si>
  <si>
    <t>Assigned Inertness Score</t>
  </si>
  <si>
    <t>Expert consensus reached?</t>
  </si>
  <si>
    <t>Aluminum,  uncoated</t>
  </si>
  <si>
    <t>No</t>
  </si>
  <si>
    <t>Amorphous polyethylene terephthalate (APET)</t>
  </si>
  <si>
    <t>Bagasse (dry fiber from sugarcane/sorghum)</t>
  </si>
  <si>
    <t>Bamboo</t>
  </si>
  <si>
    <t>Bamboo-melamine</t>
  </si>
  <si>
    <t>Biaxially oriented polypropylene (BOPP)</t>
  </si>
  <si>
    <t>Cellulose</t>
  </si>
  <si>
    <t>Ceramic</t>
  </si>
  <si>
    <t>Yes</t>
  </si>
  <si>
    <t>Cork</t>
  </si>
  <si>
    <t>Crystallized polylactic acid (CPLA)</t>
  </si>
  <si>
    <t>Expanded polystyrene (EPS)</t>
  </si>
  <si>
    <t>Glass</t>
  </si>
  <si>
    <t>Yes </t>
  </si>
  <si>
    <t>High density polyethylene (HDPE)</t>
  </si>
  <si>
    <t>Low density polyethylene (LDPE)</t>
  </si>
  <si>
    <t>Melamine</t>
  </si>
  <si>
    <t>Molded fiber (generic)</t>
  </si>
  <si>
    <t>Oriented polyamide (OPA)</t>
  </si>
  <si>
    <t>Oriented polypropylene (OPP)</t>
  </si>
  <si>
    <t>Paper and board</t>
  </si>
  <si>
    <t>Paper and board, alternative fibers (e.g. grass)</t>
  </si>
  <si>
    <t>Paper and board, recycled</t>
  </si>
  <si>
    <t>PE with 40% lime (Ecoclean Calymer)</t>
  </si>
  <si>
    <t>PET</t>
  </si>
  <si>
    <t>PET, recycled</t>
  </si>
  <si>
    <t>Polyacrylate (acrylic)</t>
  </si>
  <si>
    <t>Polyamide/nylon</t>
  </si>
  <si>
    <t>Polyethelene napthalene (PEN)</t>
  </si>
  <si>
    <t>Polylactic acid (PLA)</t>
  </si>
  <si>
    <t>Polypropylene (PP)</t>
  </si>
  <si>
    <t>Polystyrene (PS)</t>
  </si>
  <si>
    <t>Soft polyvinyl chloride (PVC) (e.g. films and gaskets)</t>
  </si>
  <si>
    <t>Stainless steel</t>
  </si>
  <si>
    <t>Storage time</t>
  </si>
  <si>
    <t>Storage temperature</t>
  </si>
  <si>
    <t>Fat content (of foodstuff)</t>
  </si>
  <si>
    <t>Acidity (of foodstuff)</t>
  </si>
  <si>
    <t>Aggregate state of the food</t>
  </si>
  <si>
    <t>Typical packaging size</t>
  </si>
  <si>
    <t>&lt;4 days</t>
  </si>
  <si>
    <t>&lt;0°C</t>
  </si>
  <si>
    <t>0-2%</t>
  </si>
  <si>
    <t>pH &gt;7</t>
  </si>
  <si>
    <t>Solid food with punctual contact</t>
  </si>
  <si>
    <t>4-7 days</t>
  </si>
  <si>
    <t>0-8°C</t>
  </si>
  <si>
    <t>3-10%</t>
  </si>
  <si>
    <t>pH 5-6.9</t>
  </si>
  <si>
    <t>Solid food with full contact</t>
  </si>
  <si>
    <t>8-14 days</t>
  </si>
  <si>
    <t>9-18°C</t>
  </si>
  <si>
    <t>11-20%</t>
  </si>
  <si>
    <t>pH 3-4.9</t>
  </si>
  <si>
    <t>Semi-solid food</t>
  </si>
  <si>
    <t>15-30 days</t>
  </si>
  <si>
    <t>&gt;18°C</t>
  </si>
  <si>
    <t>21-30%</t>
  </si>
  <si>
    <t>pH &lt;3</t>
  </si>
  <si>
    <t>Liquid food</t>
  </si>
  <si>
    <t>&gt;30 days</t>
  </si>
  <si>
    <t>Any heating &gt;40°C in the packaging</t>
  </si>
  <si>
    <t>&gt;30%</t>
  </si>
  <si>
    <t>Not applicable</t>
  </si>
  <si>
    <t>Food and Material Interaction</t>
  </si>
  <si>
    <t>&gt;1 L or &gt;1 kg</t>
  </si>
  <si>
    <t>0.5-1 L or 0.5-1 kg</t>
  </si>
  <si>
    <t>0.25-0.49 L or 0.25-0.49 kg</t>
  </si>
  <si>
    <t>0.1-0.249 L or 0.1-0.249 kg</t>
  </si>
  <si>
    <t>&lt;0.1 L or &lt;0.1 kg</t>
  </si>
  <si>
    <t>Score</t>
  </si>
  <si>
    <t>Total</t>
  </si>
  <si>
    <t>real</t>
  </si>
  <si>
    <t>new</t>
  </si>
  <si>
    <t>Scaled</t>
  </si>
  <si>
    <t>Migration potential score</t>
  </si>
  <si>
    <t>Mig Poten</t>
  </si>
  <si>
    <t>CoC</t>
  </si>
  <si>
    <t>(1-10)</t>
  </si>
  <si>
    <t>(2-30)</t>
  </si>
  <si>
    <t>Final CoC output</t>
  </si>
  <si>
    <t>(0-1)</t>
  </si>
  <si>
    <t>The pack is smoothly shaped and allows all or almost all of the product to be removed.</t>
  </si>
  <si>
    <t>The pack  has sharp edges and corners which mean a large amount of product cannot be easily removed and remains in the packaging.</t>
  </si>
  <si>
    <t>The pack reseals but protects the product less well than the original unopened packaging.</t>
  </si>
  <si>
    <t>The pack does not reseal.</t>
  </si>
  <si>
    <t>The pack reseals and protects the product as well after opening as the original unopened packaging / The packaging is closed with a single-use film and is resealable.</t>
  </si>
  <si>
    <t>The pack has some sharp edges or corners where product cannot be removed from, but is generally smoothly shaped.</t>
  </si>
  <si>
    <t>FU</t>
  </si>
  <si>
    <t>Alternatives</t>
  </si>
  <si>
    <t>Example</t>
  </si>
  <si>
    <t>Vytal</t>
  </si>
  <si>
    <t>Contain, allow serving in a take-away in France of 1200mL of a 3-side prepared dish</t>
  </si>
  <si>
    <t>600mL PE laminated cardboard box</t>
  </si>
  <si>
    <t>https://www.papstar-shop.fr/panier-repas-carton-3-compartiments-600-ml-5-cm-x-14-8-cm-x-18-3-cm-marron-37039.htm?utm_source=google&amp;utm_medium=cpc&amp;utm_id=22525146233&amp;utm_campaign=Performance%20Max%20-%20mittlere%20Marge&amp;utm_adgroupid=&amp;utm_adgroupname=&amp;utm_accountid=140-151-1330&amp;utm_term=&amp;utm_network=x&amp;gad_source=5&amp;gad_campaignid=22518712539&amp;gclid=EAIaIQobChMIw6jByvyqjgMVAKODBx3kkzevEAQYASABEgKSNfD_BwE</t>
  </si>
  <si>
    <t>PP box or container with lid</t>
  </si>
  <si>
    <t>https://www.papstar-shop.fr/boites-repas-avec-couvercle-charniere-pp-3-compartiments-5-9-cm-x-21-5-cm-x-21-88489.htm</t>
  </si>
  <si>
    <t>1350mL Bagasse box</t>
  </si>
  <si>
    <t>https://www.lusini.com/fr-fr/pdp/165471/</t>
  </si>
  <si>
    <t>900mL Bagasse container + RPET lid</t>
  </si>
  <si>
    <t>https://www.emballagefute.com/937-2435-barquette-bagasse-compartimentee.html</t>
  </si>
  <si>
    <t>Asevi</t>
  </si>
  <si>
    <t xml:space="preserve">Contain and distribute enough softener product to do 50 laundries, in Spain for large scale retail trade. </t>
  </si>
  <si>
    <t>Original Asevi bottle</t>
  </si>
  <si>
    <t>Ausolan</t>
  </si>
  <si>
    <t>Contain and enable microwave and oven heating of 1 portions of food for catering services.</t>
  </si>
  <si>
    <t>PP container with attached lid</t>
  </si>
  <si>
    <t>https://envasescui.es/wp-content/uploads/2021/11/catalogo-envases-cui-2021.pdf</t>
  </si>
  <si>
    <t>Dawn Meats</t>
  </si>
  <si>
    <t>Contain 250g of meat, preserve it for 21 days and deliver it from the producer's factory to the restauration businesses</t>
  </si>
  <si>
    <t>SU PET container with film</t>
  </si>
  <si>
    <t>Original Dawn Meats tray</t>
  </si>
  <si>
    <t>Uzaje</t>
  </si>
  <si>
    <t>Contain, allow distribution and refrigerated storage for 2 days of 500mL of prepared dish in a supermarket in France</t>
  </si>
  <si>
    <t>500mL PET box</t>
  </si>
  <si>
    <t>https://www.cenpac.fr/emballages-alimentaires/barquettes-boites-pots-caisses-caissettes/boites-pots-alimentaires/boite-rectangulaire-couvercle-charniere/p12058</t>
  </si>
  <si>
    <t>480mL PP container + film or lid</t>
  </si>
  <si>
    <t>https://www.cenpac.fr/emballages-alimentaires/barquettes-boites-pots-caisses-caissettes/barquettes-alimentaires/barquette-scellable-transparente/p16141</t>
  </si>
  <si>
    <t>500mL PE laminated cardboard container+ film</t>
  </si>
  <si>
    <t>https://www.cenpac.fr/emballages-alimentaires/barquettes-boites-pots-caisses-caissettes/barquettes/barquette-carton-scellable-food-k/p16114</t>
  </si>
  <si>
    <t>Single-use alternatives per use case</t>
  </si>
  <si>
    <t>Use case</t>
  </si>
  <si>
    <t>Product Design</t>
  </si>
  <si>
    <t>Volume of the packaging [L]</t>
  </si>
  <si>
    <t>Country</t>
  </si>
  <si>
    <t>France</t>
  </si>
  <si>
    <t>Component 1</t>
  </si>
  <si>
    <t>Component 2</t>
  </si>
  <si>
    <t>Component 3</t>
  </si>
  <si>
    <t>Product informations</t>
  </si>
  <si>
    <t>PBT</t>
  </si>
  <si>
    <t>PHA</t>
  </si>
  <si>
    <t>Weight [kg]</t>
  </si>
  <si>
    <t>Rate of MPR</t>
  </si>
  <si>
    <t>Process</t>
  </si>
  <si>
    <t>Calendering, rigid sheets {RER}</t>
  </si>
  <si>
    <t>Extrusion, co-extrusion {FR}</t>
  </si>
  <si>
    <t>Injection moulding {RER}</t>
  </si>
  <si>
    <t>A minimum of one usage must be entered</t>
  </si>
  <si>
    <t>Choose Cleaning method 1</t>
  </si>
  <si>
    <t>Cleaning 1</t>
  </si>
  <si>
    <t>Choose Cleaning method 2</t>
  </si>
  <si>
    <t>Cleaning 2</t>
  </si>
  <si>
    <t>Industrial washing</t>
  </si>
  <si>
    <t>Collection</t>
  </si>
  <si>
    <t>If the End of life is unknown or by default write "yes"</t>
  </si>
  <si>
    <t>Product</t>
  </si>
  <si>
    <t>&gt; composant séparable = ajouter la CFF de chaque composant selon les fin de vie indiquée dans le tableau</t>
  </si>
  <si>
    <t>Incineration, energy recovery</t>
  </si>
  <si>
    <t>recycling</t>
  </si>
  <si>
    <t>reuse</t>
  </si>
  <si>
    <t>Environmental results</t>
  </si>
  <si>
    <t>Product environmental score</t>
  </si>
  <si>
    <t>LCA assessment</t>
  </si>
  <si>
    <t>associated score of product</t>
  </si>
  <si>
    <t>Climate change</t>
  </si>
  <si>
    <t>Photochemical ozone formation</t>
  </si>
  <si>
    <t>Particulate matter</t>
  </si>
  <si>
    <t>Acidification</t>
  </si>
  <si>
    <t>Eutrophication, freshwater</t>
  </si>
  <si>
    <t>Water use</t>
  </si>
  <si>
    <t>Resource use, fossil</t>
  </si>
  <si>
    <t>Resource use, minerals and metals</t>
  </si>
  <si>
    <r>
      <t xml:space="preserve">Product
</t>
    </r>
    <r>
      <rPr>
        <i/>
        <sz val="9"/>
        <color theme="0"/>
        <rFont val="Aptos Display"/>
        <family val="2"/>
        <scheme val="major"/>
      </rPr>
      <t xml:space="preserve">as </t>
    </r>
    <r>
      <rPr>
        <i/>
        <sz val="9"/>
        <color theme="0"/>
        <rFont val="Calibri"/>
        <family val="2"/>
      </rPr>
      <t>Σ</t>
    </r>
    <r>
      <rPr>
        <i/>
        <sz val="9"/>
        <color theme="0"/>
        <rFont val="Aptos Display"/>
        <family val="2"/>
      </rPr>
      <t xml:space="preserve"> of components</t>
    </r>
    <r>
      <rPr>
        <i/>
        <sz val="9"/>
        <color theme="0"/>
        <rFont val="Aptos Display"/>
        <family val="2"/>
        <scheme val="major"/>
      </rPr>
      <t xml:space="preserve"> &amp; cleaning</t>
    </r>
  </si>
  <si>
    <t>kg CO2 eq</t>
  </si>
  <si>
    <t>landfill, elimination</t>
  </si>
  <si>
    <t>no impact, no calculation</t>
  </si>
  <si>
    <t>unknown or by default</t>
  </si>
  <si>
    <t>value of the score</t>
  </si>
  <si>
    <t>cleaning score only</t>
  </si>
  <si>
    <t>kg NMVOC eq</t>
  </si>
  <si>
    <t>disease inc.</t>
  </si>
  <si>
    <t>mol H+ eq</t>
  </si>
  <si>
    <t>kg P eq</t>
  </si>
  <si>
    <r>
      <t>m</t>
    </r>
    <r>
      <rPr>
        <vertAlign val="superscript"/>
        <sz val="14"/>
        <color theme="1"/>
        <rFont val="Aptos Narrow"/>
        <family val="2"/>
        <scheme val="minor"/>
      </rPr>
      <t>3</t>
    </r>
    <r>
      <rPr>
        <sz val="14"/>
        <color theme="1"/>
        <rFont val="Aptos Narrow"/>
        <family val="2"/>
        <scheme val="minor"/>
      </rPr>
      <t xml:space="preserve"> priv.</t>
    </r>
  </si>
  <si>
    <t>MJ</t>
  </si>
  <si>
    <t>kg Sb eq</t>
  </si>
  <si>
    <t>THEORICAL RECYCLABILITY</t>
  </si>
  <si>
    <t>ajouter un disclaimer sur la cohérence entre cet indice de recyclabilité et les % affecté en acv sur la fin de vie en recyclage</t>
  </si>
  <si>
    <r>
      <t xml:space="preserve">Multi-material separability (in relation to number of components)
</t>
    </r>
    <r>
      <rPr>
        <i/>
        <sz val="11"/>
        <color theme="1" tint="0.499984740745262"/>
        <rFont val="Aptos Narrow"/>
        <family val="2"/>
        <scheme val="minor"/>
      </rPr>
      <t>Put an “X” in the most appropriate box</t>
    </r>
  </si>
  <si>
    <t>Single-material product</t>
  </si>
  <si>
    <t>Multi-material product with acceptable separability characteristics</t>
  </si>
  <si>
    <t>Multi-material products, welded, glued, etc. Cannot be separated</t>
  </si>
  <si>
    <r>
      <t xml:space="preserve">Recycling channels dedicated to each material
</t>
    </r>
    <r>
      <rPr>
        <i/>
        <sz val="11"/>
        <color theme="1" tint="0.499984740745262"/>
        <rFont val="Aptos Narrow"/>
        <family val="2"/>
        <scheme val="minor"/>
      </rPr>
      <t>Put an “X” in the most appropriate box</t>
    </r>
  </si>
  <si>
    <t>Yes and operational</t>
  </si>
  <si>
    <t>Yes, but in development or tested on a local but not national scale or limited to a single product constituent material</t>
  </si>
  <si>
    <r>
      <t xml:space="preserve">Presence of substances that may interfere with recycling methods and/or PRM health (SvHC or NIAS-type substances)
</t>
    </r>
    <r>
      <rPr>
        <i/>
        <sz val="11"/>
        <color theme="1" tint="0.499984740745262"/>
        <rFont val="Aptos Narrow"/>
        <family val="2"/>
        <scheme val="minor"/>
      </rPr>
      <t>Put an “X” in the most appropriate box</t>
    </r>
  </si>
  <si>
    <t>Yes but No</t>
  </si>
  <si>
    <t>Yes and listed / REACH, SiN list…</t>
  </si>
  <si>
    <r>
      <t xml:space="preserve">History, traceability
</t>
    </r>
    <r>
      <rPr>
        <sz val="8"/>
        <color theme="1"/>
        <rFont val="Aptos Narrow"/>
        <family val="2"/>
        <scheme val="minor"/>
      </rPr>
      <t xml:space="preserve">&gt; Product manufacturing date
&gt; Origin of the raw material(s) used to manufacture the product (manufacturing regulations and/or the level of hazardous substances in products may vary depending on global origin).
&gt; Information on pollution to which the product has been subjected. </t>
    </r>
  </si>
  <si>
    <t>3 criteria</t>
  </si>
  <si>
    <t>2 criteria</t>
  </si>
  <si>
    <t>1 criteria</t>
  </si>
  <si>
    <t>FOOD WASTE</t>
  </si>
  <si>
    <r>
      <t xml:space="preserve">Spoonability:  Using only a spoon is ok to scrape the entire dish?
</t>
    </r>
    <r>
      <rPr>
        <i/>
        <sz val="11"/>
        <color theme="1" tint="0.499984740745262"/>
        <rFont val="Aptos Narrow"/>
        <family val="2"/>
        <scheme val="minor"/>
      </rPr>
      <t>Put an “X” in the most appropriate box</t>
    </r>
  </si>
  <si>
    <t>Yes, but some dish remaining (less than xx% of initial weight)</t>
  </si>
  <si>
    <r>
      <t xml:space="preserve">Effect of design on consumption (reuse, sealing technology...) 
</t>
    </r>
    <r>
      <rPr>
        <i/>
        <sz val="11"/>
        <color theme="1" tint="0.499984740745262"/>
        <rFont val="Aptos Narrow"/>
        <family val="2"/>
        <scheme val="minor"/>
      </rPr>
      <t>Put an “X” in the most appropriate box</t>
    </r>
  </si>
  <si>
    <t>to define</t>
  </si>
  <si>
    <t>MATERIAL SUPPLY CHAIN</t>
  </si>
  <si>
    <r>
      <t xml:space="preserve">Herfindahl-Hirschman Index
</t>
    </r>
    <r>
      <rPr>
        <i/>
        <sz val="11"/>
        <color theme="1" tint="0.499984740745262"/>
        <rFont val="Aptos Narrow"/>
        <family val="2"/>
        <scheme val="minor"/>
      </rPr>
      <t>Put an “X” in the most appropriate box</t>
    </r>
  </si>
  <si>
    <t>Unconcentrated market
Hhi &lt; 0,15 (1500)</t>
  </si>
  <si>
    <t>Moderate concentration
0,15 (1500) &gt; Hhi &gt; 0,25 (2500)</t>
  </si>
  <si>
    <t>High concentration
Hhi &gt; 0,25 (2500)</t>
  </si>
  <si>
    <r>
      <t xml:space="preserve">Use of recycled content
</t>
    </r>
    <r>
      <rPr>
        <i/>
        <sz val="11"/>
        <color theme="1" tint="0.499984740745262"/>
        <rFont val="Aptos Narrow"/>
        <family val="2"/>
        <scheme val="minor"/>
      </rPr>
      <t>Put an “X” in the most appropriate box</t>
    </r>
  </si>
  <si>
    <t>to define (depend of law or other rules)</t>
  </si>
  <si>
    <t>FUNCTIONNAL VALUE</t>
  </si>
  <si>
    <r>
      <t xml:space="preserve">What impact does the function have on the user's health?
</t>
    </r>
    <r>
      <rPr>
        <i/>
        <sz val="11"/>
        <color theme="1" tint="0.499984740745262"/>
        <rFont val="Aptos Narrow"/>
        <family val="2"/>
        <scheme val="minor"/>
      </rPr>
      <t>Put an “X” in the most appropriate box</t>
    </r>
  </si>
  <si>
    <t>little</t>
  </si>
  <si>
    <t>relative</t>
  </si>
  <si>
    <t>significant</t>
  </si>
  <si>
    <r>
      <t xml:space="preserve">Is it possible to do without the function ?
</t>
    </r>
    <r>
      <rPr>
        <i/>
        <sz val="11"/>
        <color theme="1" tint="0.499984740745262"/>
        <rFont val="Aptos Narrow"/>
        <family val="2"/>
        <scheme val="minor"/>
      </rPr>
      <t>Put an “X” in the most appropriate box</t>
    </r>
  </si>
  <si>
    <t>yes, according to certain compromises</t>
  </si>
  <si>
    <t>no</t>
  </si>
  <si>
    <r>
      <t xml:space="preserve">For an equivalent function, is the material used substitutable?
</t>
    </r>
    <r>
      <rPr>
        <i/>
        <sz val="11"/>
        <color theme="1" tint="0.499984740745262"/>
        <rFont val="Aptos Narrow"/>
        <family val="2"/>
        <scheme val="minor"/>
      </rPr>
      <t>Put an “X” in the most appropriate box</t>
    </r>
  </si>
  <si>
    <t xml:space="preserve"> Possible at extra cost, either due to the use of more expensive materials, or associated with more complex logistical systems, or linked to special implementation precautions</t>
  </si>
  <si>
    <t>no, impossible: no existing materials or solutions</t>
  </si>
  <si>
    <t>MATERIAL SAFETY</t>
  </si>
  <si>
    <r>
      <t xml:space="preserve">Formulation knowledge 
</t>
    </r>
    <r>
      <rPr>
        <i/>
        <sz val="11"/>
        <color theme="1" tint="0.499984740745262"/>
        <rFont val="Aptos Narrow"/>
        <family val="2"/>
        <scheme val="minor"/>
      </rPr>
      <t>Put an “X” in the most appropriate box</t>
    </r>
  </si>
  <si>
    <r>
      <t xml:space="preserve">Open/closed-loop recycling 
</t>
    </r>
    <r>
      <rPr>
        <i/>
        <sz val="11"/>
        <color theme="1" tint="0.499984740745262"/>
        <rFont val="Aptos Narrow"/>
        <family val="2"/>
        <scheme val="minor"/>
      </rPr>
      <t>Put an “X” in the most appropriate box</t>
    </r>
  </si>
  <si>
    <r>
      <t xml:space="preserve">Migration risk
</t>
    </r>
    <r>
      <rPr>
        <i/>
        <sz val="11"/>
        <color theme="1" tint="0.499984740745262"/>
        <rFont val="Aptos Narrow"/>
        <family val="2"/>
        <scheme val="minor"/>
      </rPr>
      <t>Put an “X” in the most appropriate box</t>
    </r>
  </si>
  <si>
    <t>Microplastics realese</t>
  </si>
  <si>
    <t>OVER-PACKAGING</t>
  </si>
  <si>
    <t>component 1</t>
  </si>
  <si>
    <t>component 2</t>
  </si>
  <si>
    <t>component 3</t>
  </si>
  <si>
    <t>cleaning</t>
  </si>
  <si>
    <t>product</t>
  </si>
  <si>
    <t>score</t>
  </si>
  <si>
    <r>
      <t>Matières vierges - E</t>
    </r>
    <r>
      <rPr>
        <b/>
        <vertAlign val="subscript"/>
        <sz val="16"/>
        <color theme="1"/>
        <rFont val="Aptos Narrow"/>
        <family val="2"/>
        <scheme val="minor"/>
      </rPr>
      <t>v</t>
    </r>
  </si>
  <si>
    <t>unité</t>
  </si>
  <si>
    <t>HDPE</t>
  </si>
  <si>
    <t>PP</t>
  </si>
  <si>
    <t>LDPE</t>
  </si>
  <si>
    <t>PLA</t>
  </si>
  <si>
    <t>Tritan TX1001 production {USA}</t>
  </si>
  <si>
    <t>Polylactic acid, granulate {GLO}</t>
  </si>
  <si>
    <t>Elasto</t>
  </si>
  <si>
    <t>fibre de verre</t>
  </si>
  <si>
    <t>CaCo3</t>
  </si>
  <si>
    <t>cellulose</t>
  </si>
  <si>
    <t>inox</t>
  </si>
  <si>
    <t>aluminium</t>
  </si>
  <si>
    <t>carton</t>
  </si>
  <si>
    <t>papier</t>
  </si>
  <si>
    <t>Ozone depletion</t>
  </si>
  <si>
    <t>kg CFC11 eq</t>
  </si>
  <si>
    <t>Ionising radiation</t>
  </si>
  <si>
    <t>kBq U-235 eq</t>
  </si>
  <si>
    <t>Human toxicity, non-cancer</t>
  </si>
  <si>
    <t>CTUh</t>
  </si>
  <si>
    <t>Human toxicity, cancer</t>
  </si>
  <si>
    <t>Eutrophication, marine</t>
  </si>
  <si>
    <t>kg N eq</t>
  </si>
  <si>
    <t>Eutrophication, terrestrial</t>
  </si>
  <si>
    <t>mol N eq</t>
  </si>
  <si>
    <t>Ecotoxicity, freshwater</t>
  </si>
  <si>
    <t>CTUe</t>
  </si>
  <si>
    <t>Land use</t>
  </si>
  <si>
    <t>Pt</t>
  </si>
  <si>
    <t>m3 depriv.</t>
  </si>
  <si>
    <t>Resource use, fossils</t>
  </si>
  <si>
    <t>PROCESS</t>
  </si>
  <si>
    <t>Blow moulding {RER}</t>
  </si>
  <si>
    <t>Extrusion of plastic sheets and thermoforming, inline {FR}</t>
  </si>
  <si>
    <t>Extrusion, plastic film {RER}</t>
  </si>
  <si>
    <t>Polymer foaming {RER}</t>
  </si>
  <si>
    <t>Stretch blow moulding {RER}</t>
  </si>
  <si>
    <t>Thermoforming, with calendering {RER}</t>
  </si>
  <si>
    <t>x1-%mpr</t>
  </si>
  <si>
    <t>xpoids</t>
  </si>
  <si>
    <t>xvolume</t>
  </si>
  <si>
    <t>Pire scénario</t>
  </si>
  <si>
    <t>Matériaux</t>
  </si>
  <si>
    <t>Lavage 1</t>
  </si>
  <si>
    <t>Lavage 2</t>
  </si>
  <si>
    <t>Lavage</t>
  </si>
  <si>
    <t>Customer grade dishwashing</t>
  </si>
  <si>
    <t>Handwashing</t>
  </si>
  <si>
    <t>Valeurs arbitraires. Vrai valeur cf.Justine</t>
  </si>
  <si>
    <t>Helper fin de vie personnalisée</t>
  </si>
  <si>
    <t>Constituant 1</t>
  </si>
  <si>
    <t>MATERIAUX</t>
  </si>
  <si>
    <t>ENERGIE</t>
  </si>
  <si>
    <t>DECHETS RESIDUELS (informatif)</t>
  </si>
  <si>
    <t>Impact matière vierge</t>
  </si>
  <si>
    <t>Impacts associés à la matière recyclée en entrée</t>
  </si>
  <si>
    <t>Impacts associés à la matière recyclée en sortie (bénéfices)</t>
  </si>
  <si>
    <t>Impacts associés à la valorisation énergétique</t>
  </si>
  <si>
    <t>Impacts associés à la matière non valorisée en fin de vie</t>
  </si>
  <si>
    <t>water use (flow) non applicable pour des valeurs de flux.</t>
  </si>
  <si>
    <r>
      <t>R</t>
    </r>
    <r>
      <rPr>
        <vertAlign val="subscript"/>
        <sz val="16"/>
        <color rgb="FF00B050"/>
        <rFont val="Aptos Narrow"/>
        <family val="2"/>
        <scheme val="minor"/>
      </rPr>
      <t>1</t>
    </r>
  </si>
  <si>
    <r>
      <t>E</t>
    </r>
    <r>
      <rPr>
        <vertAlign val="subscript"/>
        <sz val="16"/>
        <color rgb="FF00B050"/>
        <rFont val="Aptos Narrow"/>
        <family val="2"/>
        <scheme val="minor"/>
      </rPr>
      <t>V</t>
    </r>
  </si>
  <si>
    <r>
      <t>(1-R</t>
    </r>
    <r>
      <rPr>
        <vertAlign val="subscript"/>
        <sz val="11"/>
        <color rgb="FF00B050"/>
        <rFont val="Aptos Narrow"/>
        <family val="2"/>
        <scheme val="minor"/>
      </rPr>
      <t>1</t>
    </r>
    <r>
      <rPr>
        <sz val="11"/>
        <color rgb="FF00B050"/>
        <rFont val="Aptos Narrow"/>
        <family val="2"/>
        <scheme val="minor"/>
      </rPr>
      <t>)E</t>
    </r>
    <r>
      <rPr>
        <vertAlign val="subscript"/>
        <sz val="11"/>
        <color rgb="FF00B050"/>
        <rFont val="Aptos Narrow"/>
        <family val="2"/>
        <scheme val="minor"/>
      </rPr>
      <t>v</t>
    </r>
  </si>
  <si>
    <t>A</t>
  </si>
  <si>
    <r>
      <t>E</t>
    </r>
    <r>
      <rPr>
        <vertAlign val="subscript"/>
        <sz val="16"/>
        <color rgb="FF00B050"/>
        <rFont val="Aptos Narrow"/>
        <family val="2"/>
        <scheme val="minor"/>
      </rPr>
      <t>recycled</t>
    </r>
  </si>
  <si>
    <r>
      <t>Q</t>
    </r>
    <r>
      <rPr>
        <vertAlign val="subscript"/>
        <sz val="16"/>
        <color rgb="FF00B050"/>
        <rFont val="Aptos Narrow"/>
        <family val="2"/>
        <scheme val="minor"/>
      </rPr>
      <t>sin</t>
    </r>
  </si>
  <si>
    <r>
      <t>Q</t>
    </r>
    <r>
      <rPr>
        <vertAlign val="subscript"/>
        <sz val="16"/>
        <color rgb="FF00B050"/>
        <rFont val="Aptos Narrow"/>
        <family val="2"/>
        <scheme val="minor"/>
      </rPr>
      <t>p</t>
    </r>
  </si>
  <si>
    <r>
      <t>Q</t>
    </r>
    <r>
      <rPr>
        <vertAlign val="subscript"/>
        <sz val="16"/>
        <color rgb="FF00B050"/>
        <rFont val="Aptos Narrow"/>
        <family val="2"/>
        <scheme val="minor"/>
      </rPr>
      <t>sin</t>
    </r>
    <r>
      <rPr>
        <sz val="16"/>
        <color rgb="FF00B050"/>
        <rFont val="Aptos Narrow"/>
        <family val="2"/>
        <scheme val="minor"/>
      </rPr>
      <t xml:space="preserve"> / Q</t>
    </r>
    <r>
      <rPr>
        <vertAlign val="subscript"/>
        <sz val="16"/>
        <color rgb="FF00B050"/>
        <rFont val="Aptos Narrow"/>
        <family val="2"/>
        <scheme val="minor"/>
      </rPr>
      <t>p</t>
    </r>
  </si>
  <si>
    <r>
      <t>R</t>
    </r>
    <r>
      <rPr>
        <vertAlign val="subscript"/>
        <sz val="11"/>
        <color rgb="FF00B050"/>
        <rFont val="Aptos Narrow"/>
        <family val="2"/>
        <scheme val="minor"/>
      </rPr>
      <t>1</t>
    </r>
    <r>
      <rPr>
        <sz val="11"/>
        <color rgb="FF00B050"/>
        <rFont val="Aptos Narrow"/>
        <family val="2"/>
        <scheme val="minor"/>
      </rPr>
      <t xml:space="preserve"> x (AE</t>
    </r>
    <r>
      <rPr>
        <vertAlign val="subscript"/>
        <sz val="11"/>
        <color rgb="FF00B050"/>
        <rFont val="Aptos Narrow"/>
        <family val="2"/>
        <scheme val="minor"/>
      </rPr>
      <t>recycled</t>
    </r>
    <r>
      <rPr>
        <sz val="11"/>
        <color rgb="FF00B050"/>
        <rFont val="Aptos Narrow"/>
        <family val="2"/>
        <scheme val="minor"/>
      </rPr>
      <t xml:space="preserve"> + (1 - A)E</t>
    </r>
    <r>
      <rPr>
        <vertAlign val="subscript"/>
        <sz val="11"/>
        <color rgb="FF00B050"/>
        <rFont val="Aptos Narrow"/>
        <family val="2"/>
        <scheme val="minor"/>
      </rPr>
      <t>V</t>
    </r>
    <r>
      <rPr>
        <sz val="11"/>
        <color rgb="FF00B050"/>
        <rFont val="Aptos Narrow"/>
        <family val="2"/>
        <scheme val="minor"/>
      </rPr>
      <t xml:space="preserve"> x Q</t>
    </r>
    <r>
      <rPr>
        <vertAlign val="subscript"/>
        <sz val="11"/>
        <color rgb="FF00B050"/>
        <rFont val="Aptos Narrow"/>
        <family val="2"/>
        <scheme val="minor"/>
      </rPr>
      <t>sin</t>
    </r>
    <r>
      <rPr>
        <sz val="11"/>
        <color rgb="FF00B050"/>
        <rFont val="Aptos Narrow"/>
        <family val="2"/>
        <scheme val="minor"/>
      </rPr>
      <t xml:space="preserve"> / Q</t>
    </r>
    <r>
      <rPr>
        <vertAlign val="subscript"/>
        <sz val="11"/>
        <color rgb="FF00B050"/>
        <rFont val="Aptos Narrow"/>
        <family val="2"/>
        <scheme val="minor"/>
      </rPr>
      <t>p</t>
    </r>
    <r>
      <rPr>
        <sz val="11"/>
        <color rgb="FF00B050"/>
        <rFont val="Aptos Narrow"/>
        <family val="2"/>
        <scheme val="minor"/>
      </rPr>
      <t>)</t>
    </r>
  </si>
  <si>
    <t>Impacts des Matériaux en entrée (module utilisé dans l'indicateur)</t>
  </si>
  <si>
    <r>
      <t>R</t>
    </r>
    <r>
      <rPr>
        <vertAlign val="subscript"/>
        <sz val="16"/>
        <color theme="0"/>
        <rFont val="Aptos Narrow"/>
        <family val="2"/>
        <scheme val="minor"/>
      </rPr>
      <t>2</t>
    </r>
  </si>
  <si>
    <r>
      <t>E</t>
    </r>
    <r>
      <rPr>
        <vertAlign val="subscript"/>
        <sz val="16"/>
        <color theme="0"/>
        <rFont val="Aptos Narrow"/>
        <family val="2"/>
        <scheme val="minor"/>
      </rPr>
      <t>recyclingEoL</t>
    </r>
  </si>
  <si>
    <r>
      <t>E</t>
    </r>
    <r>
      <rPr>
        <vertAlign val="subscript"/>
        <sz val="16"/>
        <color theme="0"/>
        <rFont val="Aptos Narrow"/>
        <family val="2"/>
        <scheme val="minor"/>
      </rPr>
      <t>v*</t>
    </r>
  </si>
  <si>
    <r>
      <t>Q</t>
    </r>
    <r>
      <rPr>
        <vertAlign val="subscript"/>
        <sz val="16"/>
        <color theme="0"/>
        <rFont val="Aptos Narrow"/>
        <family val="2"/>
        <scheme val="minor"/>
      </rPr>
      <t>sout</t>
    </r>
  </si>
  <si>
    <r>
      <t>Q</t>
    </r>
    <r>
      <rPr>
        <vertAlign val="subscript"/>
        <sz val="16"/>
        <color theme="0"/>
        <rFont val="Aptos Narrow"/>
        <family val="2"/>
        <scheme val="minor"/>
      </rPr>
      <t>p</t>
    </r>
  </si>
  <si>
    <r>
      <t>Q</t>
    </r>
    <r>
      <rPr>
        <vertAlign val="subscript"/>
        <sz val="16"/>
        <color theme="0"/>
        <rFont val="Aptos Narrow"/>
        <family val="2"/>
        <scheme val="minor"/>
      </rPr>
      <t>sout</t>
    </r>
    <r>
      <rPr>
        <sz val="16"/>
        <color theme="0"/>
        <rFont val="Aptos Narrow"/>
        <family val="2"/>
        <scheme val="minor"/>
      </rPr>
      <t xml:space="preserve"> / Q</t>
    </r>
    <r>
      <rPr>
        <vertAlign val="subscript"/>
        <sz val="16"/>
        <color theme="0"/>
        <rFont val="Aptos Narrow"/>
        <family val="2"/>
        <scheme val="minor"/>
      </rPr>
      <t>p</t>
    </r>
  </si>
  <si>
    <r>
      <t>(1 - A)R</t>
    </r>
    <r>
      <rPr>
        <vertAlign val="subscript"/>
        <sz val="11"/>
        <color theme="0"/>
        <rFont val="Aptos Narrow"/>
        <family val="2"/>
        <scheme val="minor"/>
      </rPr>
      <t>2</t>
    </r>
    <r>
      <rPr>
        <sz val="11"/>
        <color theme="0"/>
        <rFont val="Aptos Narrow"/>
        <family val="2"/>
        <scheme val="minor"/>
      </rPr>
      <t xml:space="preserve"> x (E</t>
    </r>
    <r>
      <rPr>
        <vertAlign val="subscript"/>
        <sz val="11"/>
        <color theme="0"/>
        <rFont val="Aptos Narrow"/>
        <family val="2"/>
        <scheme val="minor"/>
      </rPr>
      <t>recyclingEoL</t>
    </r>
    <r>
      <rPr>
        <sz val="11"/>
        <color theme="0"/>
        <rFont val="Aptos Narrow"/>
        <family val="2"/>
        <scheme val="minor"/>
      </rPr>
      <t xml:space="preserve"> - Ev* x Q</t>
    </r>
    <r>
      <rPr>
        <vertAlign val="subscript"/>
        <sz val="11"/>
        <color theme="0"/>
        <rFont val="Aptos Narrow"/>
        <family val="2"/>
        <scheme val="minor"/>
      </rPr>
      <t>sout</t>
    </r>
    <r>
      <rPr>
        <sz val="11"/>
        <color theme="0"/>
        <rFont val="Aptos Narrow"/>
        <family val="2"/>
        <scheme val="minor"/>
      </rPr>
      <t xml:space="preserve"> / Q</t>
    </r>
    <r>
      <rPr>
        <vertAlign val="subscript"/>
        <sz val="11"/>
        <color theme="0"/>
        <rFont val="Aptos Narrow"/>
        <family val="2"/>
        <scheme val="minor"/>
      </rPr>
      <t>p</t>
    </r>
    <r>
      <rPr>
        <sz val="11"/>
        <color theme="0"/>
        <rFont val="Aptos Narrow"/>
        <family val="2"/>
        <scheme val="minor"/>
      </rPr>
      <t>)</t>
    </r>
  </si>
  <si>
    <t>B</t>
  </si>
  <si>
    <r>
      <t>R</t>
    </r>
    <r>
      <rPr>
        <vertAlign val="subscript"/>
        <sz val="16"/>
        <color theme="0"/>
        <rFont val="Aptos Narrow"/>
        <family val="2"/>
        <scheme val="minor"/>
      </rPr>
      <t>3</t>
    </r>
  </si>
  <si>
    <r>
      <t>E</t>
    </r>
    <r>
      <rPr>
        <vertAlign val="subscript"/>
        <sz val="16"/>
        <color theme="0"/>
        <rFont val="Aptos Narrow"/>
        <family val="2"/>
        <scheme val="minor"/>
      </rPr>
      <t>ER</t>
    </r>
  </si>
  <si>
    <t>LHV</t>
  </si>
  <si>
    <r>
      <t>X</t>
    </r>
    <r>
      <rPr>
        <vertAlign val="subscript"/>
        <sz val="16"/>
        <color theme="0"/>
        <rFont val="Aptos Narrow"/>
        <family val="2"/>
        <scheme val="minor"/>
      </rPr>
      <t>ER,heat</t>
    </r>
  </si>
  <si>
    <r>
      <t>E</t>
    </r>
    <r>
      <rPr>
        <vertAlign val="subscript"/>
        <sz val="16"/>
        <color theme="0"/>
        <rFont val="Aptos Narrow"/>
        <family val="2"/>
        <scheme val="minor"/>
      </rPr>
      <t>SE,heat</t>
    </r>
  </si>
  <si>
    <r>
      <t>X</t>
    </r>
    <r>
      <rPr>
        <vertAlign val="subscript"/>
        <sz val="16"/>
        <color theme="0"/>
        <rFont val="Aptos Narrow"/>
        <family val="2"/>
        <scheme val="minor"/>
      </rPr>
      <t>ER,elec</t>
    </r>
  </si>
  <si>
    <r>
      <t>E</t>
    </r>
    <r>
      <rPr>
        <vertAlign val="subscript"/>
        <sz val="16"/>
        <color theme="0"/>
        <rFont val="Aptos Narrow"/>
        <family val="2"/>
        <scheme val="minor"/>
      </rPr>
      <t>SE,elec</t>
    </r>
  </si>
  <si>
    <r>
      <t>(1 - B)R</t>
    </r>
    <r>
      <rPr>
        <vertAlign val="subscript"/>
        <sz val="11"/>
        <color theme="0"/>
        <rFont val="Aptos Narrow"/>
        <family val="2"/>
        <scheme val="minor"/>
      </rPr>
      <t>3</t>
    </r>
    <r>
      <rPr>
        <sz val="11"/>
        <color theme="0"/>
        <rFont val="Aptos Narrow"/>
        <family val="2"/>
        <scheme val="minor"/>
      </rPr>
      <t xml:space="preserve"> x (E</t>
    </r>
    <r>
      <rPr>
        <vertAlign val="subscript"/>
        <sz val="11"/>
        <color theme="0"/>
        <rFont val="Aptos Narrow"/>
        <family val="2"/>
        <scheme val="minor"/>
      </rPr>
      <t>ER</t>
    </r>
    <r>
      <rPr>
        <sz val="11"/>
        <color theme="0"/>
        <rFont val="Aptos Narrow"/>
        <family val="2"/>
        <scheme val="minor"/>
      </rPr>
      <t xml:space="preserve"> - LHV x X</t>
    </r>
    <r>
      <rPr>
        <vertAlign val="subscript"/>
        <sz val="11"/>
        <color theme="0"/>
        <rFont val="Aptos Narrow"/>
        <family val="2"/>
        <scheme val="minor"/>
      </rPr>
      <t>ER,heat</t>
    </r>
    <r>
      <rPr>
        <sz val="11"/>
        <color theme="0"/>
        <rFont val="Aptos Narrow"/>
        <family val="2"/>
        <scheme val="minor"/>
      </rPr>
      <t xml:space="preserve"> x E</t>
    </r>
    <r>
      <rPr>
        <vertAlign val="subscript"/>
        <sz val="11"/>
        <color theme="0"/>
        <rFont val="Aptos Narrow"/>
        <family val="2"/>
        <scheme val="minor"/>
      </rPr>
      <t>SE,heat</t>
    </r>
    <r>
      <rPr>
        <sz val="11"/>
        <color theme="0"/>
        <rFont val="Aptos Narrow"/>
        <family val="2"/>
        <scheme val="minor"/>
      </rPr>
      <t xml:space="preserve"> - LHV x X</t>
    </r>
    <r>
      <rPr>
        <vertAlign val="subscript"/>
        <sz val="11"/>
        <color theme="0"/>
        <rFont val="Aptos Narrow"/>
        <family val="2"/>
        <scheme val="minor"/>
      </rPr>
      <t>ER,elec</t>
    </r>
    <r>
      <rPr>
        <sz val="11"/>
        <color theme="0"/>
        <rFont val="Aptos Narrow"/>
        <family val="2"/>
        <scheme val="minor"/>
      </rPr>
      <t xml:space="preserve"> x E</t>
    </r>
    <r>
      <rPr>
        <vertAlign val="subscript"/>
        <sz val="11"/>
        <color theme="0"/>
        <rFont val="Aptos Narrow"/>
        <family val="2"/>
        <scheme val="minor"/>
      </rPr>
      <t>SE,elec</t>
    </r>
    <r>
      <rPr>
        <sz val="11"/>
        <color theme="0"/>
        <rFont val="Aptos Narrow"/>
        <family val="2"/>
        <scheme val="minor"/>
      </rPr>
      <t>)</t>
    </r>
  </si>
  <si>
    <r>
      <t>R</t>
    </r>
    <r>
      <rPr>
        <vertAlign val="subscript"/>
        <sz val="16"/>
        <color theme="0" tint="-0.14999847407452621"/>
        <rFont val="Aptos Narrow"/>
        <family val="2"/>
        <scheme val="minor"/>
      </rPr>
      <t>2</t>
    </r>
  </si>
  <si>
    <r>
      <t>R</t>
    </r>
    <r>
      <rPr>
        <vertAlign val="subscript"/>
        <sz val="16"/>
        <color theme="0" tint="-0.14999847407452621"/>
        <rFont val="Aptos Narrow"/>
        <family val="2"/>
        <scheme val="minor"/>
      </rPr>
      <t>3</t>
    </r>
  </si>
  <si>
    <t>ED</t>
  </si>
  <si>
    <r>
      <t>(1 - R</t>
    </r>
    <r>
      <rPr>
        <vertAlign val="subscript"/>
        <sz val="11"/>
        <color theme="0" tint="-0.14999847407452621"/>
        <rFont val="Aptos Narrow"/>
        <family val="2"/>
        <scheme val="minor"/>
      </rPr>
      <t>2</t>
    </r>
    <r>
      <rPr>
        <sz val="11"/>
        <color theme="0" tint="-0.14999847407452621"/>
        <rFont val="Aptos Narrow"/>
        <family val="2"/>
        <scheme val="minor"/>
      </rPr>
      <t xml:space="preserve"> - R</t>
    </r>
    <r>
      <rPr>
        <vertAlign val="subscript"/>
        <sz val="11"/>
        <color theme="0" tint="-0.14999847407452621"/>
        <rFont val="Aptos Narrow"/>
        <family val="2"/>
        <scheme val="minor"/>
      </rPr>
      <t>3</t>
    </r>
    <r>
      <rPr>
        <sz val="11"/>
        <color theme="0" tint="-0.14999847407452621"/>
        <rFont val="Aptos Narrow"/>
        <family val="2"/>
        <scheme val="minor"/>
      </rPr>
      <t>) x E</t>
    </r>
    <r>
      <rPr>
        <vertAlign val="subscript"/>
        <sz val="11"/>
        <color theme="0" tint="-0.14999847407452621"/>
        <rFont val="Aptos Narrow"/>
        <family val="2"/>
        <scheme val="minor"/>
      </rPr>
      <t>D</t>
    </r>
  </si>
  <si>
    <t>le flux une consommation non une masse x facteur de caractérisation</t>
  </si>
  <si>
    <t>commentaire</t>
  </si>
  <si>
    <t>Taux de MPR utilisée dans la matière en entrée</t>
  </si>
  <si>
    <t>Impact de la matière vierge</t>
  </si>
  <si>
    <t>Facteur d'allocation des bénéfices entre le fournisseur de MPR le recycleur</t>
  </si>
  <si>
    <t>Impact de la matière recyclée en entrée</t>
  </si>
  <si>
    <t>qualité MPR en entrée</t>
  </si>
  <si>
    <t>qualité matière vierge</t>
  </si>
  <si>
    <t>rapport de qualité de la matière en entrée</t>
  </si>
  <si>
    <t>Taux de recyclage de la matière</t>
  </si>
  <si>
    <t>Impacts du recyclage de la matière utilisée en fin de vie</t>
  </si>
  <si>
    <t>Impacts de la matière vierge substituée par la matière recyclée en fin de vie</t>
  </si>
  <si>
    <t>qualité MPR en sortie</t>
  </si>
  <si>
    <t>rapport de qualité en sortie</t>
  </si>
  <si>
    <t>Facteur d'allocation des bénéfices de la valorisation énergétique en entrée</t>
  </si>
  <si>
    <t>Taux de valorisation énergétique</t>
  </si>
  <si>
    <t>Impact de la valorisation énergétique</t>
  </si>
  <si>
    <t>Pouvoir calorifique inférieur du matériau
[MJ / Kg]</t>
  </si>
  <si>
    <t>Rendement du processus de valorisation énergétique - chaleur</t>
  </si>
  <si>
    <t>Impact de la valorisation énergétique qui aurait été émis (àsubstituer) - chaleur</t>
  </si>
  <si>
    <t>Rendement du processus de valorisation énergétique - électricité</t>
  </si>
  <si>
    <t>Impact de la valorisation énergétique qui aurait été émis (àsubstituer) - électricité</t>
  </si>
  <si>
    <t>Impact de l'élimination</t>
  </si>
  <si>
    <t>Helper LHV</t>
  </si>
  <si>
    <t>source</t>
  </si>
  <si>
    <t>défini par l'uitilisateur</t>
  </si>
  <si>
    <t>basemat
Cf. simapro, EF 3.0</t>
  </si>
  <si>
    <t>total</t>
  </si>
  <si>
    <t>0,5 pour les plastiques
Cf.JRC</t>
  </si>
  <si>
    <t>baseF2V
Cf. simapro, EF 3.0
Granta</t>
  </si>
  <si>
    <t>Cf. PEF: pour les PP, PEHD, PET &gt; 0,9 &amp; PEBD &gt; 0,75</t>
  </si>
  <si>
    <t>défini par l'utilisateur</t>
  </si>
  <si>
    <t>baseF2V
Cf. simapro, EF 3.0</t>
  </si>
  <si>
    <t>Cf. PEF: pour les PP, PEHD, PET &gt; 0,9 &amp; PEBD &gt; 0,75
Pour les bio, prise en compte des de la pire valeur entre recyclage Chim et Mec pour les recycled TP PET du PEF</t>
  </si>
  <si>
    <t>Cf. JRC</t>
  </si>
  <si>
    <t>Cf. PEF, ADEME, ordures ménagères</t>
  </si>
  <si>
    <t>Cf. ADEME, base impact</t>
  </si>
  <si>
    <t>basevalo
Cf. simapro, EF 3.0</t>
  </si>
  <si>
    <t>FIN 2 VIE, base pour le calcul de la CFF (sauf water flow)</t>
  </si>
  <si>
    <t>LDPE </t>
  </si>
  <si>
    <t>HDPE </t>
  </si>
  <si>
    <t>Par défaut, inconnue</t>
  </si>
  <si>
    <t>incinération, valorisation énergétique</t>
  </si>
  <si>
    <t>élimination, enfouissement</t>
  </si>
  <si>
    <t>recyclé</t>
  </si>
  <si>
    <t>recyclage</t>
  </si>
  <si>
    <t>symboles CFF</t>
  </si>
  <si>
    <t>xxx</t>
  </si>
  <si>
    <r>
      <t>E</t>
    </r>
    <r>
      <rPr>
        <vertAlign val="subscript"/>
        <sz val="9"/>
        <rFont val="Aptos Narrow"/>
        <family val="2"/>
        <scheme val="minor"/>
      </rPr>
      <t>ER</t>
    </r>
  </si>
  <si>
    <r>
      <t>E</t>
    </r>
    <r>
      <rPr>
        <vertAlign val="subscript"/>
        <sz val="9"/>
        <rFont val="Aptos Narrow"/>
        <family val="2"/>
        <scheme val="minor"/>
      </rPr>
      <t>D</t>
    </r>
  </si>
  <si>
    <r>
      <t>E</t>
    </r>
    <r>
      <rPr>
        <vertAlign val="subscript"/>
        <sz val="9"/>
        <rFont val="Aptos Narrow"/>
        <family val="2"/>
        <scheme val="minor"/>
      </rPr>
      <t xml:space="preserve">recycled </t>
    </r>
    <r>
      <rPr>
        <sz val="9"/>
        <color theme="1"/>
        <rFont val="Aptos Narrow"/>
        <family val="2"/>
        <scheme val="minor"/>
      </rPr>
      <t/>
    </r>
  </si>
  <si>
    <r>
      <t>E</t>
    </r>
    <r>
      <rPr>
        <vertAlign val="subscript"/>
        <sz val="9"/>
        <rFont val="Aptos Narrow"/>
        <family val="2"/>
        <scheme val="minor"/>
      </rPr>
      <t>recyclingEOL</t>
    </r>
  </si>
  <si>
    <t>Impact associés à la matière recyclée en sortie - CFF</t>
  </si>
  <si>
    <t>Impact associés à la matière aveec fin de vie "classique"</t>
  </si>
  <si>
    <t>Impacts associés à la matière non valorisée en fin de vie (élimination, enfouissement) - CFF</t>
  </si>
  <si>
    <t>Impacts associés à la valorisation énergétique - CFF - collecte en mélange ou ne sait pas</t>
  </si>
  <si>
    <t>Impacts valorisation énergétique et élminiation hors CFF, recherche de max pour les pires scénarios</t>
  </si>
  <si>
    <t>valorisation énergétique</t>
  </si>
  <si>
    <t>enfouissement, élmimination</t>
  </si>
  <si>
    <t>COLLECTE</t>
  </si>
  <si>
    <t>PCI ou LHV [MJ/kg]</t>
  </si>
  <si>
    <t>en mélange</t>
  </si>
  <si>
    <t xml:space="preserve">Pour les matières biosourcées PP et PE, il est considéré les mêmes PCI que pour les matières vierges de même famille </t>
  </si>
  <si>
    <t>Le PCI, également appelé Pouvoir Calorifique Inférieur, est une caractéristique de l'énergie libérée lors de la combustion d'une substance. Contrairement au PCS, il n'inclut pas la condensation de la vapeur d'eau contenue dans les fumées, sa valeur étant toujours plus petite comparativement.</t>
  </si>
  <si>
    <t xml:space="preserve">Composition des déchets ménagers </t>
  </si>
  <si>
    <t>taux (2017)</t>
  </si>
  <si>
    <t>putréscibles</t>
  </si>
  <si>
    <t>plastiques</t>
  </si>
  <si>
    <t>textiles sanitaires</t>
  </si>
  <si>
    <t>métaux, textiles, composites, décehts dangereux et autres non classés</t>
  </si>
  <si>
    <t>verre</t>
  </si>
  <si>
    <t>métaux</t>
  </si>
  <si>
    <t>textiles</t>
  </si>
  <si>
    <t>composites</t>
  </si>
  <si>
    <t>PCI global</t>
  </si>
  <si>
    <t>https://www.actu-environnement.com/ae/news/ademe-etude-modecom-caracterisation-poubelles-37242.php4#:~:text=En%202017%2C%20les%20OMR%20sont,kg%2Fhab%2Fan).</t>
  </si>
  <si>
    <t>VALORISATION ENERGETIQUE</t>
  </si>
  <si>
    <t>chaleur évitée (impact)</t>
  </si>
  <si>
    <t>élec évitée (impact)</t>
  </si>
  <si>
    <t>Energy demand (flow)</t>
  </si>
  <si>
    <t>Heat, central or small-scale, natural gas {RER}| market group for | Cut-off, U</t>
  </si>
  <si>
    <t>Electricity, medium voltage {FR}| market for | Cut-off, U</t>
  </si>
  <si>
    <t>Catégorie d'impact</t>
  </si>
  <si>
    <t>Unité</t>
  </si>
  <si>
    <t>ESE heat</t>
  </si>
  <si>
    <t>ESE elec</t>
  </si>
  <si>
    <t>EF 3,0</t>
  </si>
  <si>
    <t>Non renewable, fossil</t>
  </si>
  <si>
    <t>Non-renewable, nuclear</t>
  </si>
  <si>
    <t>Non-renewable, biomass</t>
  </si>
  <si>
    <t>Renewable, biomass</t>
  </si>
  <si>
    <t>Renewable, wind, solar, geothe</t>
  </si>
  <si>
    <t>Renewable, water</t>
  </si>
  <si>
    <t>Water use (flow)</t>
  </si>
  <si>
    <t>m3</t>
  </si>
  <si>
    <t>cumulativ energy demand</t>
  </si>
  <si>
    <t>Materials</t>
  </si>
  <si>
    <t>Separable components</t>
  </si>
  <si>
    <t>Cleaning</t>
  </si>
  <si>
    <t>R3</t>
  </si>
  <si>
    <t>PEF annex C</t>
  </si>
  <si>
    <t>R2</t>
  </si>
  <si>
    <t>Localisation</t>
  </si>
  <si>
    <t>Packaging generic</t>
  </si>
  <si>
    <t>EU</t>
  </si>
  <si>
    <t>Germany</t>
  </si>
  <si>
    <t>Irland</t>
  </si>
  <si>
    <t>Ireland</t>
  </si>
  <si>
    <t>Spain</t>
  </si>
  <si>
    <t>UK</t>
  </si>
  <si>
    <t>Europe</t>
  </si>
  <si>
    <t>Environmental</t>
  </si>
  <si>
    <t>Takeaway container</t>
  </si>
  <si>
    <t>Detergent bottle</t>
  </si>
  <si>
    <t>Canteen tray</t>
  </si>
  <si>
    <t>Meat secondary packaging</t>
  </si>
  <si>
    <t>Supermarket catering container</t>
  </si>
  <si>
    <t>Single-use packaging option</t>
  </si>
  <si>
    <t>Use case list</t>
  </si>
  <si>
    <t>Selected</t>
  </si>
  <si>
    <t>Linked single-use options</t>
  </si>
  <si>
    <t>Cold water rinsing</t>
  </si>
  <si>
    <t>So user selects use case, then selects alternative packaging. We have mass in the input page.</t>
  </si>
  <si>
    <t>Number of uses</t>
  </si>
  <si>
    <t>Unknown End of Life ?</t>
  </si>
  <si>
    <t>Selective collection</t>
  </si>
  <si>
    <t>HDPE Mixed or Unknown collection</t>
  </si>
  <si>
    <t>PP Mixed or Unknown collection</t>
  </si>
  <si>
    <t>LDPE Mixed or Unknown collection</t>
  </si>
  <si>
    <t>PET Mixed or Unknown collection</t>
  </si>
  <si>
    <t>PBT Mixed or Unknown collection</t>
  </si>
  <si>
    <t>PHA Mixed or Unknown collection</t>
  </si>
  <si>
    <t>Mixed or Unknown collection</t>
  </si>
  <si>
    <t>HDPE Selective collection</t>
  </si>
  <si>
    <t>PP Selective collection</t>
  </si>
  <si>
    <t>LDPE Selective collection</t>
  </si>
  <si>
    <t>PET Selective collection</t>
  </si>
  <si>
    <t>PBT Selective collection</t>
  </si>
  <si>
    <t>PHA Selective collection</t>
  </si>
  <si>
    <t>m3 priv.</t>
  </si>
  <si>
    <t>Single-use</t>
  </si>
  <si>
    <t>Mat</t>
  </si>
  <si>
    <t>Mass</t>
  </si>
  <si>
    <t>Mass (kg)</t>
  </si>
  <si>
    <t>HDPE bottle with PP cap</t>
  </si>
  <si>
    <t xml:space="preserve">The user will provide a score for each stakeholder group in each life cycle stage (Manufacture, Transport, End-of-life treatment, and Washing). 
Scores of +2, 0 or –2 will be selected. </t>
  </si>
  <si>
    <t>Workers</t>
  </si>
  <si>
    <t>Local communities</t>
  </si>
  <si>
    <t>Consumer</t>
  </si>
  <si>
    <t>The organisation actively works with unions, are free to terminate employment, work fair hours are free from discrimination. The organisation actively works to improve health and safety and enhance social security.</t>
  </si>
  <si>
    <t>Organisation takes proactive action to improve community health and safety, measured and monitored skills and employability programmes are offered, and organisation takes action to address community needs and improve dignity.</t>
  </si>
  <si>
    <t>Consumer safety is actively addressed and measures are in place to prevent products becoming unsafe in use, and organisation responds to consumer feedback</t>
  </si>
  <si>
    <t>Workers have the right to join unions, international labour and working hours laws are followed, health and safety risks are considered but not necessarily addressed, and a minimum standard of social security is provided.</t>
  </si>
  <si>
    <t>Organisation takes appropriate measures and does not harm community health, skills training is available, and some initiatives exist to address human right to dignity.</t>
  </si>
  <si>
    <t>Products and services are safe for people, property and environment under normal conditions. Organisation has a mechanism for consumer feedback.</t>
  </si>
  <si>
    <t>Unions are not enabled or engaged with, evidence of forced labour may exist, health and safety and social security laws are not considered or are violated, and discrimination occurs.</t>
  </si>
  <si>
    <t>Appropriate measures are not taken and harm may occur, no community engagement is undertaken, no measures in place to address human dignity and community needs.</t>
  </si>
  <si>
    <t>Products and services are not necessarily safe for people, property and environment under normal conditions. No mechanism for consumer feedback.</t>
  </si>
  <si>
    <t>Social impact inputs</t>
  </si>
  <si>
    <t>Manufacture</t>
  </si>
  <si>
    <t>End-of-life treatment</t>
  </si>
  <si>
    <t>Washing</t>
  </si>
  <si>
    <t>Transport</t>
  </si>
  <si>
    <t>W=(n-1)/n (M + T+ E)</t>
  </si>
  <si>
    <t>(excluding U, which is present in both cases)</t>
  </si>
  <si>
    <t>At this point, the single-use and reusable cases have the same overall impact.</t>
  </si>
  <si>
    <t>If W &gt; (n-1)/n (M + T + E), the reusable case is likely to have a higher overall social impact</t>
  </si>
  <si>
    <t>If W &lt; (n-1)/n (M + T + E), the single-use case is likely to have a higher overall social impact</t>
  </si>
  <si>
    <t>T</t>
  </si>
  <si>
    <t>E</t>
  </si>
  <si>
    <t>n</t>
  </si>
  <si>
    <t>(n-1)/n (M + T + E)</t>
  </si>
  <si>
    <t>Best option</t>
  </si>
  <si>
    <t>SU total</t>
  </si>
  <si>
    <t>R total</t>
  </si>
  <si>
    <t>Max</t>
  </si>
  <si>
    <t>Min</t>
  </si>
  <si>
    <t>Normalised</t>
  </si>
  <si>
    <t>(i.e. what the washing impact needs to be for break even)</t>
  </si>
  <si>
    <t>Impact total</t>
  </si>
  <si>
    <t>plus W</t>
  </si>
  <si>
    <t>reuse to break even</t>
  </si>
  <si>
    <t>Selected:</t>
  </si>
  <si>
    <t>SELECTED OPTION:</t>
  </si>
  <si>
    <t>PHDE bottle with PP cap</t>
  </si>
  <si>
    <t>BEP:</t>
  </si>
  <si>
    <t>TOTAL</t>
  </si>
  <si>
    <t>Unknown EOL?</t>
  </si>
  <si>
    <t>Best?</t>
  </si>
  <si>
    <t>BEP</t>
  </si>
  <si>
    <t>uses</t>
  </si>
  <si>
    <t>Reusable (1 use)</t>
  </si>
  <si>
    <t>Outputs</t>
  </si>
  <si>
    <t>Climate Change</t>
  </si>
  <si>
    <t>Current uses</t>
  </si>
  <si>
    <t>Input - is the SU packaging EOL unknown?</t>
  </si>
  <si>
    <t>(set in Single-use results)</t>
  </si>
  <si>
    <t>g</t>
  </si>
  <si>
    <t>(select)</t>
  </si>
  <si>
    <t>Select use case</t>
  </si>
  <si>
    <t>kg (for reusable case)</t>
  </si>
  <si>
    <t>Cr</t>
  </si>
  <si>
    <t>PCI</t>
  </si>
  <si>
    <t>Utility factor (U/Ud)</t>
  </si>
  <si>
    <t>Circularity indicator</t>
  </si>
  <si>
    <t>Cs</t>
  </si>
  <si>
    <t>Wr</t>
  </si>
  <si>
    <t>Bowl</t>
  </si>
  <si>
    <t>Bottle</t>
  </si>
  <si>
    <t>CURRENT</t>
  </si>
  <si>
    <t>Single use cost</t>
  </si>
  <si>
    <t>Reusable cost</t>
  </si>
  <si>
    <r>
      <rPr>
        <sz val="11"/>
        <color theme="1"/>
        <rFont val="Aptos Narrow"/>
        <family val="2"/>
      </rPr>
      <t xml:space="preserve">€ </t>
    </r>
    <r>
      <rPr>
        <sz val="11"/>
        <color theme="1"/>
        <rFont val="Aptos Narrow"/>
        <family val="2"/>
        <scheme val="minor"/>
      </rPr>
      <t>per use</t>
    </r>
  </si>
  <si>
    <t>€ per use</t>
  </si>
  <si>
    <t>€</t>
  </si>
  <si>
    <t>Economic impact inputs</t>
  </si>
  <si>
    <t>Current best</t>
  </si>
  <si>
    <t>Recycled Content</t>
  </si>
  <si>
    <t>Recycling Rate</t>
  </si>
  <si>
    <t>Compost Rate</t>
  </si>
  <si>
    <t>PET, bottles</t>
  </si>
  <si>
    <t>PET, other food containers</t>
  </si>
  <si>
    <t>PET, not otherwise specified</t>
  </si>
  <si>
    <t>bioPET, bottles</t>
  </si>
  <si>
    <t>bioPET, other food containers</t>
  </si>
  <si>
    <t>bioPET, not otherwise specified</t>
  </si>
  <si>
    <t>HDPE, bottles</t>
  </si>
  <si>
    <t>HDPE, other food containers</t>
  </si>
  <si>
    <t>HDPE, not otherwise specified</t>
  </si>
  <si>
    <t>PE, not otherwise specified</t>
  </si>
  <si>
    <t>PP, containers</t>
  </si>
  <si>
    <t>PP, not otherwise specified</t>
  </si>
  <si>
    <t>plastic, not otherwise specified</t>
  </si>
  <si>
    <t>none</t>
  </si>
  <si>
    <t>Stainless steel items</t>
  </si>
  <si>
    <t>Steel items</t>
  </si>
  <si>
    <t>Aluminum cans and bottles</t>
  </si>
  <si>
    <t>Aluminum, not otherwise specified</t>
  </si>
  <si>
    <t>Glass bottles</t>
  </si>
  <si>
    <t>Glass, not otherwise specified</t>
  </si>
  <si>
    <t>Paper</t>
  </si>
  <si>
    <t>Corrugated cardboard (uncoated)</t>
  </si>
  <si>
    <t>Paperboard, poly-coated</t>
  </si>
  <si>
    <t>Paperboard, PLA-coated</t>
  </si>
  <si>
    <t>Paperboard, uncoated</t>
  </si>
  <si>
    <t>Molded fiber, uncoated</t>
  </si>
  <si>
    <t>Molded fiber, with barrier</t>
  </si>
  <si>
    <t>Pressed fiber, uncoated</t>
  </si>
  <si>
    <t>Pressed fiber, with barrier</t>
  </si>
  <si>
    <t>PLA, bottles</t>
  </si>
  <si>
    <t>PLA, other food containers</t>
  </si>
  <si>
    <t>Wood and Fiber</t>
  </si>
  <si>
    <t>Global</t>
  </si>
  <si>
    <t>USA</t>
  </si>
  <si>
    <t>Pressed fibre, uncoated</t>
  </si>
  <si>
    <t>SELECTED</t>
  </si>
  <si>
    <t>Index</t>
  </si>
  <si>
    <t>(from PCI Fr values calc)</t>
  </si>
  <si>
    <t>(assumed - see ref in deliverable)</t>
  </si>
  <si>
    <t>Is this more or less than the average for this type of product?</t>
  </si>
  <si>
    <t>A lot more</t>
  </si>
  <si>
    <t>A bit more</t>
  </si>
  <si>
    <t>Similar</t>
  </si>
  <si>
    <t>A bit less</t>
  </si>
  <si>
    <t>A lot less</t>
  </si>
  <si>
    <t>Food waste potential</t>
  </si>
  <si>
    <t>End-of-life</t>
  </si>
  <si>
    <t>Project name</t>
  </si>
  <si>
    <t>Enter project name</t>
  </si>
  <si>
    <t>Please use this input page to enter some basic details of your project. The following three pages will ask specific questions to inform the circular flow, value and sustainable development calculations.
Cells which require inupt are colored in light blue.
Further details on each input can be found by hovering over a cell.</t>
  </si>
  <si>
    <t>Next page →</t>
  </si>
  <si>
    <t>This page collects information used to calculate the Product Circularity Indicator, used to calculate the Circular Flow of Resources part of the indicator. Please enter the data in each box. All questions on this page refer to the reusable product.
Cells which require inupt are colored in light blue.
Further details on each input can be found by hovering over a cell.</t>
  </si>
  <si>
    <t>← Previous page</t>
  </si>
  <si>
    <t>This page collects information used to calculate the food waste potential and material safety, which inform the Value part of the indicator. Please enter the data in each box. All questions on this page refer to the reusable product.
Cells which require inupt are colored in light blue.
Further details on each input can be found by hovering over a cell.</t>
  </si>
  <si>
    <t xml:space="preserve">          Workers</t>
  </si>
  <si>
    <t xml:space="preserve">          Local communities</t>
  </si>
  <si>
    <t xml:space="preserve">          Consumers</t>
  </si>
  <si>
    <t>For each stage (Manufacture, Transport, End-of-life, Washing), indicate which statement most closely represents the social situation of each group (Workers, Local communities, Consumers). Selecting a statement will allow the full text to be read.</t>
  </si>
  <si>
    <t>Minimum number of uses:</t>
  </si>
  <si>
    <t>Not calculated</t>
  </si>
  <si>
    <t>Environnemental impact breakdown:</t>
  </si>
  <si>
    <t>BEP (uses)</t>
  </si>
  <si>
    <t>H</t>
  </si>
  <si>
    <t>Start here →</t>
  </si>
  <si>
    <t xml:space="preserve">flow of resources, and a </t>
  </si>
  <si>
    <t xml:space="preserve">Across the seven assessed categories, </t>
  </si>
  <si>
    <t xml:space="preserve"> score for Circular </t>
  </si>
  <si>
    <t xml:space="preserve"> score</t>
  </si>
  <si>
    <t xml:space="preserve"> for Value.</t>
  </si>
  <si>
    <t xml:space="preserve">Based on </t>
  </si>
  <si>
    <t xml:space="preserve"> uses, the reusable </t>
  </si>
  <si>
    <t xml:space="preserve">case performed better than single-use in </t>
  </si>
  <si>
    <t xml:space="preserve"> of 8 environmental impact cases </t>
  </si>
  <si>
    <t xml:space="preserve">and performed </t>
  </si>
  <si>
    <t xml:space="preserve"> than the single-use </t>
  </si>
  <si>
    <t xml:space="preserve">case for economic impact, and </t>
  </si>
  <si>
    <t xml:space="preserve">Break-even points were between  </t>
  </si>
  <si>
    <t xml:space="preserve"> and </t>
  </si>
  <si>
    <t xml:space="preserve"> uses.</t>
  </si>
  <si>
    <t>Summary</t>
  </si>
  <si>
    <t xml:space="preserve"> achieved a </t>
  </si>
  <si>
    <t xml:space="preserve"> than the single-use case for social impact.</t>
  </si>
  <si>
    <t>Results →</t>
  </si>
  <si>
    <t>ch1</t>
  </si>
  <si>
    <t>Unknown</t>
  </si>
  <si>
    <t>Yellow are unknown and use an average of all known values</t>
  </si>
  <si>
    <t>=HLOOKUP(T$1,DGbaseF2V!$A$76:$s$92,6,0)*T$2</t>
  </si>
  <si>
    <t>Cost to retailler (reusable)</t>
  </si>
  <si>
    <t>Cost to retailler (single-use)</t>
  </si>
  <si>
    <t xml:space="preserve">Calculation
Costs per use:
Single-use case cost = Cs
Reusable case cost = (Cr/n) + Wr
Break-even point:
 n = Cr / (Cs – Wr)
Where:
Cr = Cost to retailler (reusable): user input
Cs = Cost to retailler (single-use): user input
Wr = Washing cost (reusable, per wash): Standard data (bowls: €0.10, bottles: €0.05)
n = Number of reuses at break-even point 
</t>
  </si>
  <si>
    <t>If storage time, temperature and food content are not known, the table of example values given below may be useful</t>
  </si>
  <si>
    <t>Example data from UP Scorecard Appendix 10.3. This data should only be used for the food types listed, and only if real data is not available</t>
  </si>
  <si>
    <t>(see deliverable report for
discussion of littering)</t>
  </si>
  <si>
    <t>Formulas assume this data is per litre of packaging volume washed</t>
  </si>
  <si>
    <t>l</t>
  </si>
  <si>
    <t>Packaging weight and volume</t>
  </si>
  <si>
    <t>Single use pack weight:</t>
  </si>
  <si>
    <t>Reusable pack weight:</t>
  </si>
  <si>
    <t>Reusable pack volume:</t>
  </si>
  <si>
    <t>Reusable packaging</t>
  </si>
  <si>
    <t>Manufacturing process</t>
  </si>
  <si>
    <t>Washing process</t>
  </si>
  <si>
    <t>Customizable End Of Life (NOT USED AS FIXED AT MIXED / UNKNOWN ABOVE)</t>
  </si>
  <si>
    <t>#</t>
  </si>
  <si>
    <t>Percentage of mass</t>
  </si>
  <si>
    <t>Second wash</t>
  </si>
  <si>
    <t>uses per product</t>
  </si>
  <si>
    <t>Project location</t>
  </si>
  <si>
    <t>This page collects information used to calculate the food waste potential and material safety, which inform the Value part of the indicator. Please enter the data in each box. Questions refer to the reusable product.
Cells which require inupt are colored in light blue.
Further details on each input can be found by hovering over a cell.</t>
  </si>
  <si>
    <t>Reusable (total)</t>
  </si>
  <si>
    <t>Industrial grade dishwashing</t>
  </si>
  <si>
    <t>Dropack</t>
  </si>
  <si>
    <t>First wash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</si>
</sst>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0"/>
    <numFmt numFmtId="165" formatCode="0.0"/>
  </numFmts>
  <fonts count="118" x14ac:knownFonts="1">
    <font>
      <sz val="11"/>
      <color theme="1"/>
      <name val="Aptos Narrow"/>
      <family val="2"/>
      <scheme val="minor"/>
    </font>
    <font>
      <sz val="11"/>
      <color theme="1"/>
      <name val="Aptos Narrow"/>
      <family val="2"/>
      <scheme val="minor"/>
    </font>
    <font>
      <b/>
      <sz val="11"/>
      <color theme="0"/>
      <name val="Aptos Narrow"/>
      <family val="2"/>
      <scheme val="minor"/>
    </font>
    <font>
      <sz val="11"/>
      <color rgb="FFFF0000"/>
      <name val="Aptos Narrow"/>
      <family val="2"/>
      <scheme val="minor"/>
    </font>
    <font>
      <b/>
      <sz val="11"/>
      <color theme="1"/>
      <name val="Aptos Narrow"/>
      <family val="2"/>
      <scheme val="minor"/>
    </font>
    <font>
      <sz val="11"/>
      <color theme="0"/>
      <name val="Aptos Narrow"/>
      <family val="2"/>
      <scheme val="minor"/>
    </font>
    <font>
      <sz val="11"/>
      <color theme="1"/>
      <name val="Calibri"/>
      <family val="2"/>
    </font>
    <font>
      <u/>
      <sz val="11"/>
      <color theme="10"/>
      <name val="Aptos Narrow"/>
      <family val="2"/>
      <scheme val="minor"/>
    </font>
    <font>
      <b/>
      <sz val="11"/>
      <color theme="1"/>
      <name val="Calibri"/>
      <family val="2"/>
    </font>
    <font>
      <b/>
      <sz val="11"/>
      <color rgb="FF000000"/>
      <name val="Calibri"/>
      <family val="2"/>
    </font>
    <font>
      <sz val="11"/>
      <color rgb="FF000000"/>
      <name val="Calibri"/>
      <family val="2"/>
    </font>
    <font>
      <sz val="10"/>
      <color rgb="FF000000"/>
      <name val="Arial"/>
      <family val="2"/>
    </font>
    <font>
      <b/>
      <sz val="10"/>
      <color rgb="FF000000"/>
      <name val="Arial"/>
      <family val="2"/>
    </font>
    <font>
      <b/>
      <sz val="11"/>
      <color rgb="FFFF0000"/>
      <name val="Aptos Narrow"/>
      <family val="2"/>
      <scheme val="minor"/>
    </font>
    <font>
      <b/>
      <sz val="22"/>
      <color theme="0"/>
      <name val="Aptos Display"/>
      <family val="2"/>
      <scheme val="major"/>
    </font>
    <font>
      <b/>
      <sz val="18"/>
      <name val="Aptos Display"/>
      <family val="2"/>
      <scheme val="major"/>
    </font>
    <font>
      <sz val="11"/>
      <color theme="1"/>
      <name val="Aptos Display"/>
      <family val="2"/>
      <scheme val="major"/>
    </font>
    <font>
      <i/>
      <sz val="12"/>
      <color theme="0"/>
      <name val="Aptos Display"/>
      <family val="2"/>
      <scheme val="major"/>
    </font>
    <font>
      <b/>
      <sz val="16"/>
      <color theme="3" tint="0.499984740745262"/>
      <name val="Aptos Display"/>
      <family val="2"/>
      <scheme val="major"/>
    </font>
    <font>
      <b/>
      <sz val="20"/>
      <color rgb="FF33CDC6"/>
      <name val="Aptos Display"/>
      <family val="2"/>
      <scheme val="major"/>
    </font>
    <font>
      <sz val="11"/>
      <color theme="0"/>
      <name val="Aptos Display"/>
      <family val="2"/>
      <scheme val="major"/>
    </font>
    <font>
      <sz val="48"/>
      <color theme="1"/>
      <name val="Aptos Display"/>
      <family val="2"/>
      <scheme val="major"/>
    </font>
    <font>
      <sz val="22"/>
      <color theme="1"/>
      <name val="Aptos Narrow"/>
      <family val="2"/>
      <scheme val="minor"/>
    </font>
    <font>
      <b/>
      <sz val="16"/>
      <color theme="0"/>
      <name val="Aptos Display"/>
      <family val="2"/>
      <scheme val="major"/>
    </font>
    <font>
      <sz val="22"/>
      <color theme="1"/>
      <name val="Aptos Display"/>
      <family val="2"/>
      <scheme val="major"/>
    </font>
    <font>
      <sz val="11"/>
      <color rgb="FF33CDC6"/>
      <name val="Aptos Display"/>
      <family val="2"/>
      <scheme val="major"/>
    </font>
    <font>
      <i/>
      <sz val="9"/>
      <color theme="1"/>
      <name val="Aptos Display"/>
      <family val="2"/>
      <scheme val="major"/>
    </font>
    <font>
      <sz val="11"/>
      <name val="Aptos Display"/>
      <family val="2"/>
      <scheme val="major"/>
    </font>
    <font>
      <b/>
      <sz val="20"/>
      <color rgb="FF33CDC6"/>
      <name val="Aptos Narrow"/>
      <family val="2"/>
      <scheme val="minor"/>
    </font>
    <font>
      <i/>
      <sz val="12"/>
      <color rgb="FF33CDC6"/>
      <name val="Aptos Display"/>
      <family val="2"/>
      <scheme val="major"/>
    </font>
    <font>
      <sz val="72"/>
      <color theme="1"/>
      <name val="Aptos Narrow"/>
      <family val="2"/>
      <scheme val="minor"/>
    </font>
    <font>
      <b/>
      <sz val="72"/>
      <color rgb="FF33CDC6"/>
      <name val="Aptos Narrow"/>
      <family val="2"/>
      <scheme val="minor"/>
    </font>
    <font>
      <b/>
      <sz val="18"/>
      <color theme="1"/>
      <name val="Aptos Narrow"/>
      <family val="2"/>
      <scheme val="minor"/>
    </font>
    <font>
      <b/>
      <sz val="22"/>
      <color theme="1"/>
      <name val="Aptos Narrow"/>
      <family val="2"/>
      <scheme val="minor"/>
    </font>
    <font>
      <i/>
      <sz val="9"/>
      <color theme="0"/>
      <name val="Aptos Display"/>
      <family val="2"/>
      <scheme val="major"/>
    </font>
    <font>
      <i/>
      <sz val="9"/>
      <color theme="0"/>
      <name val="Calibri"/>
      <family val="2"/>
    </font>
    <font>
      <i/>
      <sz val="9"/>
      <color theme="0"/>
      <name val="Aptos Display"/>
      <family val="2"/>
    </font>
    <font>
      <sz val="14"/>
      <name val="Aptos Narrow"/>
      <family val="2"/>
      <scheme val="minor"/>
    </font>
    <font>
      <sz val="14"/>
      <name val="Aptos Display"/>
      <family val="2"/>
      <scheme val="major"/>
    </font>
    <font>
      <sz val="14"/>
      <color rgb="FF0070C0"/>
      <name val="Aptos Narrow"/>
      <family val="2"/>
      <scheme val="minor"/>
    </font>
    <font>
      <i/>
      <sz val="14"/>
      <name val="Aptos Narrow"/>
      <family val="2"/>
      <scheme val="minor"/>
    </font>
    <font>
      <i/>
      <sz val="14"/>
      <color theme="0" tint="-0.499984740745262"/>
      <name val="Aptos Narrow"/>
      <family val="2"/>
      <scheme val="minor"/>
    </font>
    <font>
      <i/>
      <sz val="14"/>
      <color theme="1" tint="0.499984740745262"/>
      <name val="Aptos Display"/>
      <family val="2"/>
      <scheme val="major"/>
    </font>
    <font>
      <i/>
      <sz val="14"/>
      <color theme="1" tint="0.499984740745262"/>
      <name val="Aptos Narrow"/>
      <family val="2"/>
      <scheme val="minor"/>
    </font>
    <font>
      <i/>
      <sz val="12"/>
      <color theme="1" tint="0.499984740745262"/>
      <name val="Aptos Narrow"/>
      <family val="2"/>
      <scheme val="minor"/>
    </font>
    <font>
      <sz val="14"/>
      <color theme="1"/>
      <name val="Aptos Narrow"/>
      <family val="2"/>
      <scheme val="minor"/>
    </font>
    <font>
      <sz val="11"/>
      <color theme="0" tint="-0.34998626667073579"/>
      <name val="Aptos Narrow"/>
      <family val="2"/>
      <scheme val="minor"/>
    </font>
    <font>
      <sz val="14"/>
      <color theme="0" tint="-0.249977111117893"/>
      <name val="Aptos Display"/>
      <family val="2"/>
      <scheme val="major"/>
    </font>
    <font>
      <vertAlign val="superscript"/>
      <sz val="14"/>
      <color theme="1"/>
      <name val="Aptos Narrow"/>
      <family val="2"/>
      <scheme val="minor"/>
    </font>
    <font>
      <i/>
      <sz val="12"/>
      <color theme="0" tint="-0.499984740745262"/>
      <name val="Aptos Narrow"/>
      <family val="2"/>
      <scheme val="minor"/>
    </font>
    <font>
      <sz val="11"/>
      <color theme="0" tint="-0.249977111117893"/>
      <name val="Aptos Display"/>
      <family val="2"/>
      <scheme val="major"/>
    </font>
    <font>
      <sz val="48"/>
      <color theme="1"/>
      <name val="Aptos Narrow"/>
      <family val="2"/>
      <scheme val="minor"/>
    </font>
    <font>
      <sz val="11"/>
      <name val="Aptos Narrow"/>
      <family val="2"/>
      <scheme val="minor"/>
    </font>
    <font>
      <i/>
      <sz val="11"/>
      <color theme="1" tint="0.499984740745262"/>
      <name val="Aptos Narrow"/>
      <family val="2"/>
      <scheme val="minor"/>
    </font>
    <font>
      <sz val="11"/>
      <color theme="1"/>
      <name val="Bahnschrift Light"/>
      <family val="2"/>
    </font>
    <font>
      <sz val="8"/>
      <color theme="1"/>
      <name val="Aptos Narrow"/>
      <family val="2"/>
      <scheme val="minor"/>
    </font>
    <font>
      <sz val="20"/>
      <color theme="1"/>
      <name val="Aptos Narrow"/>
      <family val="2"/>
      <scheme val="minor"/>
    </font>
    <font>
      <b/>
      <sz val="11"/>
      <color rgb="FF000000"/>
      <name val="Aptos Narrow"/>
      <family val="2"/>
    </font>
    <font>
      <sz val="10"/>
      <color theme="1"/>
      <name val="Symbol"/>
      <family val="1"/>
      <charset val="2"/>
    </font>
    <font>
      <b/>
      <sz val="16"/>
      <color theme="1"/>
      <name val="Aptos Narrow"/>
      <family val="2"/>
      <scheme val="minor"/>
    </font>
    <font>
      <b/>
      <vertAlign val="subscript"/>
      <sz val="16"/>
      <color theme="1"/>
      <name val="Aptos Narrow"/>
      <family val="2"/>
      <scheme val="minor"/>
    </font>
    <font>
      <b/>
      <sz val="9"/>
      <color theme="1"/>
      <name val="Aptos Narrow"/>
      <family val="2"/>
      <scheme val="minor"/>
    </font>
    <font>
      <b/>
      <sz val="11"/>
      <name val="Aptos Narrow"/>
      <family val="2"/>
      <scheme val="minor"/>
    </font>
    <font>
      <sz val="9"/>
      <color theme="1"/>
      <name val="Aptos Narrow"/>
      <family val="2"/>
      <scheme val="minor"/>
    </font>
    <font>
      <sz val="11"/>
      <color rgb="FFFF0000"/>
      <name val="Calibri"/>
      <family val="2"/>
    </font>
    <font>
      <sz val="10"/>
      <color theme="1"/>
      <name val="Aptos Narrow"/>
      <family val="2"/>
      <scheme val="minor"/>
    </font>
    <font>
      <b/>
      <sz val="10"/>
      <color rgb="FFFF0000"/>
      <name val="Aptos Narrow"/>
      <family val="2"/>
      <scheme val="minor"/>
    </font>
    <font>
      <b/>
      <sz val="9"/>
      <color indexed="81"/>
      <name val="Tahoma"/>
      <family val="2"/>
    </font>
    <font>
      <sz val="9"/>
      <color indexed="81"/>
      <name val="Tahoma"/>
      <family val="2"/>
    </font>
    <font>
      <i/>
      <sz val="8"/>
      <color theme="1"/>
      <name val="Aptos Narrow"/>
      <family val="2"/>
      <scheme val="minor"/>
    </font>
    <font>
      <b/>
      <sz val="20"/>
      <color theme="1"/>
      <name val="Aptos Narrow"/>
      <family val="2"/>
      <scheme val="minor"/>
    </font>
    <font>
      <b/>
      <sz val="12"/>
      <color theme="1" tint="0.34998626667073579"/>
      <name val="Aptos Narrow"/>
      <family val="2"/>
      <scheme val="minor"/>
    </font>
    <font>
      <b/>
      <i/>
      <sz val="8"/>
      <color theme="1" tint="0.34998626667073579"/>
      <name val="Aptos Narrow"/>
      <family val="2"/>
      <scheme val="minor"/>
    </font>
    <font>
      <sz val="16"/>
      <color theme="1"/>
      <name val="Aptos Narrow"/>
      <family val="2"/>
      <scheme val="minor"/>
    </font>
    <font>
      <sz val="16"/>
      <color rgb="FF00B050"/>
      <name val="Aptos Narrow"/>
      <family val="2"/>
      <scheme val="minor"/>
    </font>
    <font>
      <vertAlign val="subscript"/>
      <sz val="16"/>
      <color rgb="FF00B050"/>
      <name val="Aptos Narrow"/>
      <family val="2"/>
      <scheme val="minor"/>
    </font>
    <font>
      <sz val="11"/>
      <color rgb="FF00B050"/>
      <name val="Aptos Narrow"/>
      <family val="2"/>
      <scheme val="minor"/>
    </font>
    <font>
      <vertAlign val="subscript"/>
      <sz val="11"/>
      <color rgb="FF00B050"/>
      <name val="Aptos Narrow"/>
      <family val="2"/>
      <scheme val="minor"/>
    </font>
    <font>
      <b/>
      <sz val="11"/>
      <color rgb="FF00B050"/>
      <name val="Aptos Narrow"/>
      <family val="2"/>
      <scheme val="minor"/>
    </font>
    <font>
      <sz val="16"/>
      <color theme="0"/>
      <name val="Aptos Narrow"/>
      <family val="2"/>
      <scheme val="minor"/>
    </font>
    <font>
      <vertAlign val="subscript"/>
      <sz val="16"/>
      <color theme="0"/>
      <name val="Aptos Narrow"/>
      <family val="2"/>
      <scheme val="minor"/>
    </font>
    <font>
      <vertAlign val="subscript"/>
      <sz val="11"/>
      <color theme="0"/>
      <name val="Aptos Narrow"/>
      <family val="2"/>
      <scheme val="minor"/>
    </font>
    <font>
      <sz val="16"/>
      <color theme="0" tint="-0.14999847407452621"/>
      <name val="Aptos Narrow"/>
      <family val="2"/>
      <scheme val="minor"/>
    </font>
    <font>
      <vertAlign val="subscript"/>
      <sz val="16"/>
      <color theme="0" tint="-0.14999847407452621"/>
      <name val="Aptos Narrow"/>
      <family val="2"/>
      <scheme val="minor"/>
    </font>
    <font>
      <sz val="11"/>
      <color theme="0" tint="-0.14999847407452621"/>
      <name val="Aptos Narrow"/>
      <family val="2"/>
      <scheme val="minor"/>
    </font>
    <font>
      <vertAlign val="subscript"/>
      <sz val="11"/>
      <color theme="0" tint="-0.14999847407452621"/>
      <name val="Aptos Narrow"/>
      <family val="2"/>
      <scheme val="minor"/>
    </font>
    <font>
      <sz val="6"/>
      <color theme="0"/>
      <name val="Aptos Narrow"/>
      <family val="2"/>
      <scheme val="minor"/>
    </font>
    <font>
      <sz val="6"/>
      <color theme="0" tint="-0.14999847407452621"/>
      <name val="Aptos Narrow"/>
      <family val="2"/>
      <scheme val="minor"/>
    </font>
    <font>
      <b/>
      <i/>
      <sz val="16"/>
      <name val="Aptos Narrow"/>
      <family val="2"/>
      <scheme val="minor"/>
    </font>
    <font>
      <b/>
      <sz val="11"/>
      <color theme="0" tint="-0.14999847407452621"/>
      <name val="Aptos Narrow"/>
      <family val="2"/>
      <scheme val="minor"/>
    </font>
    <font>
      <b/>
      <sz val="14"/>
      <name val="Aptos Narrow"/>
      <family val="2"/>
      <scheme val="minor"/>
    </font>
    <font>
      <b/>
      <i/>
      <sz val="8"/>
      <name val="Aptos Narrow"/>
      <family val="2"/>
      <scheme val="minor"/>
    </font>
    <font>
      <sz val="14"/>
      <color theme="0" tint="-0.34998626667073579"/>
      <name val="Aptos Narrow"/>
      <family val="2"/>
      <scheme val="minor"/>
    </font>
    <font>
      <b/>
      <sz val="14"/>
      <color theme="0" tint="-0.14999847407452621"/>
      <name val="Aptos Narrow"/>
      <family val="2"/>
      <scheme val="minor"/>
    </font>
    <font>
      <sz val="8"/>
      <color theme="0"/>
      <name val="Aptos Narrow"/>
      <family val="2"/>
      <scheme val="minor"/>
    </font>
    <font>
      <b/>
      <sz val="9"/>
      <name val="Aptos Narrow"/>
      <family val="2"/>
      <scheme val="minor"/>
    </font>
    <font>
      <sz val="9"/>
      <name val="Aptos Narrow"/>
      <family val="2"/>
      <scheme val="minor"/>
    </font>
    <font>
      <vertAlign val="subscript"/>
      <sz val="9"/>
      <name val="Aptos Narrow"/>
      <family val="2"/>
      <scheme val="minor"/>
    </font>
    <font>
      <i/>
      <sz val="11"/>
      <color rgb="FFFF0000"/>
      <name val="Aptos Narrow"/>
      <family val="2"/>
      <scheme val="minor"/>
    </font>
    <font>
      <i/>
      <sz val="9"/>
      <color theme="4" tint="-0.249977111117893"/>
      <name val="Aptos Narrow"/>
      <family val="2"/>
      <scheme val="minor"/>
    </font>
    <font>
      <b/>
      <sz val="10"/>
      <color theme="1"/>
      <name val="Aptos Narrow"/>
      <family val="2"/>
      <scheme val="minor"/>
    </font>
    <font>
      <sz val="11"/>
      <color rgb="FF1F497D"/>
      <name val="Calibri"/>
      <family val="2"/>
    </font>
    <font>
      <b/>
      <sz val="9"/>
      <color theme="0"/>
      <name val="Aptos Narrow"/>
      <family val="2"/>
      <scheme val="minor"/>
    </font>
    <font>
      <i/>
      <sz val="10"/>
      <color theme="1"/>
      <name val="Aptos Narrow"/>
      <family val="2"/>
      <scheme val="minor"/>
    </font>
    <font>
      <i/>
      <sz val="11"/>
      <color theme="1"/>
      <name val="Aptos Narrow"/>
      <family val="2"/>
      <scheme val="minor"/>
    </font>
    <font>
      <b/>
      <sz val="22"/>
      <color rgb="FFFF0000"/>
      <name val="Aptos Narrow"/>
      <family val="2"/>
      <scheme val="minor"/>
    </font>
    <font>
      <sz val="12"/>
      <color theme="1"/>
      <name val="Aptos Narrow"/>
      <family val="2"/>
      <scheme val="minor"/>
    </font>
    <font>
      <sz val="12"/>
      <color theme="1"/>
      <name val="Aptos Display"/>
      <family val="2"/>
      <scheme val="major"/>
    </font>
    <font>
      <b/>
      <sz val="18"/>
      <name val="Aptos Narrow"/>
      <family val="2"/>
      <scheme val="minor"/>
    </font>
    <font>
      <sz val="10"/>
      <name val="Aptos Display"/>
      <family val="2"/>
      <scheme val="major"/>
    </font>
    <font>
      <b/>
      <i/>
      <sz val="11"/>
      <color rgb="FFFF0000"/>
      <name val="Aptos Narrow"/>
      <family val="2"/>
      <scheme val="minor"/>
    </font>
    <font>
      <sz val="11"/>
      <color theme="1"/>
      <name val="Aptos Narrow"/>
      <family val="2"/>
    </font>
    <font>
      <sz val="10"/>
      <color theme="1"/>
      <name val="Arial"/>
      <family val="2"/>
    </font>
    <font>
      <sz val="10"/>
      <name val="Arial"/>
      <family val="2"/>
    </font>
    <font>
      <sz val="8"/>
      <name val="Arial"/>
      <family val="2"/>
    </font>
    <font>
      <sz val="8"/>
      <color theme="1"/>
      <name val="Arial"/>
      <family val="2"/>
    </font>
    <font>
      <sz val="8"/>
      <color rgb="FF000000"/>
      <name val="Arial"/>
      <family val="2"/>
    </font>
    <font>
      <sz val="9"/>
      <color rgb="FF000000"/>
      <name val="Tahoma"/>
      <family val="2"/>
    </font>
  </fonts>
  <fills count="20">
    <fill>
      <patternFill patternType="none"/>
    </fill>
    <fill>
      <patternFill patternType="gray125"/>
    </fill>
    <fill>
      <patternFill patternType="solid">
        <fgColor rgb="FFFFFF00"/>
        <bgColor indexed="64"/>
      </patternFill>
    </fill>
    <fill>
      <patternFill patternType="solid">
        <fgColor theme="4" tint="-0.499984740745262"/>
        <bgColor indexed="64"/>
      </patternFill>
    </fill>
    <fill>
      <patternFill patternType="solid">
        <fgColor theme="0"/>
        <bgColor indexed="64"/>
      </patternFill>
    </fill>
    <fill>
      <patternFill patternType="solid">
        <fgColor rgb="FF565C76"/>
        <bgColor indexed="64"/>
      </patternFill>
    </fill>
    <fill>
      <patternFill patternType="solid">
        <fgColor rgb="FFFFAFAF"/>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C00000"/>
        <bgColor indexed="64"/>
      </patternFill>
    </fill>
    <fill>
      <patternFill patternType="solid">
        <fgColor rgb="FF00B050"/>
        <bgColor indexed="64"/>
      </patternFill>
    </fill>
    <fill>
      <patternFill patternType="solid">
        <fgColor theme="3" tint="-0.249977111117893"/>
        <bgColor indexed="64"/>
      </patternFill>
    </fill>
    <fill>
      <patternFill patternType="solid">
        <fgColor rgb="FF00B0F0"/>
        <bgColor indexed="64"/>
      </patternFill>
    </fill>
    <fill>
      <patternFill patternType="solid">
        <fgColor rgb="FFD998FA"/>
        <bgColor indexed="64"/>
      </patternFill>
    </fill>
    <fill>
      <patternFill patternType="solid">
        <fgColor rgb="FFFF0000"/>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5"/>
        <bgColor indexed="64"/>
      </patternFill>
    </fill>
    <fill>
      <patternFill patternType="solid">
        <fgColor rgb="FFEFEFEF"/>
        <bgColor indexed="64"/>
      </patternFill>
    </fill>
    <fill>
      <patternFill patternType="solid">
        <fgColor theme="4" tint="0.79998168889431442"/>
        <bgColor indexed="64"/>
      </patternFill>
    </fill>
  </fills>
  <borders count="72">
    <border>
      <left/>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ashDotDot">
        <color rgb="FF565C76"/>
      </top>
      <bottom style="dashDotDot">
        <color rgb="FF565C76"/>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double">
        <color theme="0" tint="-0.34998626667073579"/>
      </left>
      <right style="double">
        <color theme="0" tint="-0.34998626667073579"/>
      </right>
      <top/>
      <bottom/>
      <diagonal/>
    </border>
    <border>
      <left style="double">
        <color theme="0" tint="-0.34998626667073579"/>
      </left>
      <right style="double">
        <color theme="0" tint="-0.34998626667073579"/>
      </right>
      <top/>
      <bottom style="double">
        <color theme="0" tint="-0.34998626667073579"/>
      </bottom>
      <diagonal/>
    </border>
    <border>
      <left style="medium">
        <color indexed="64"/>
      </left>
      <right/>
      <top/>
      <bottom/>
      <diagonal/>
    </border>
    <border>
      <left/>
      <right style="medium">
        <color indexed="64"/>
      </right>
      <top/>
      <bottom/>
      <diagonal/>
    </border>
    <border>
      <left style="medium">
        <color theme="0" tint="-0.14996795556505021"/>
      </left>
      <right/>
      <top/>
      <bottom/>
      <diagonal/>
    </border>
    <border>
      <left/>
      <right style="medium">
        <color theme="0" tint="-0.14996795556505021"/>
      </right>
      <top/>
      <bottom/>
      <diagonal/>
    </border>
    <border>
      <left style="medium">
        <color indexed="64"/>
      </left>
      <right/>
      <top style="medium">
        <color theme="0" tint="-0.14996795556505021"/>
      </top>
      <bottom/>
      <diagonal/>
    </border>
    <border>
      <left/>
      <right/>
      <top style="medium">
        <color theme="0" tint="-0.14996795556505021"/>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theme="1"/>
      </left>
      <right/>
      <top style="medium">
        <color theme="1"/>
      </top>
      <bottom/>
      <diagonal/>
    </border>
    <border>
      <left/>
      <right/>
      <top style="medium">
        <color theme="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1"/>
      </left>
      <right/>
      <top/>
      <bottom/>
      <diagonal/>
    </border>
    <border>
      <left/>
      <right style="medium">
        <color theme="4" tint="-0.24994659260841701"/>
      </right>
      <top/>
      <bottom/>
      <diagonal/>
    </border>
    <border>
      <left style="medium">
        <color theme="4" tint="-0.24994659260841701"/>
      </left>
      <right/>
      <top/>
      <bottom/>
      <diagonal/>
    </border>
    <border>
      <left style="medium">
        <color theme="4" tint="-0.24994659260841701"/>
      </left>
      <right style="medium">
        <color theme="4" tint="-0.24994659260841701"/>
      </right>
      <top/>
      <bottom/>
      <diagonal/>
    </border>
    <border>
      <left/>
      <right/>
      <top/>
      <bottom style="dashDotDot">
        <color theme="1" tint="0.499984740745262"/>
      </bottom>
      <diagonal/>
    </border>
    <border>
      <left/>
      <right/>
      <top/>
      <bottom style="dashDotDot">
        <color theme="1" tint="0.34998626667073579"/>
      </bottom>
      <diagonal/>
    </border>
    <border>
      <left style="medium">
        <color theme="1"/>
      </left>
      <right/>
      <top style="dashDotDot">
        <color theme="1" tint="0.34998626667073579"/>
      </top>
      <bottom style="dashDotDot">
        <color theme="1" tint="0.34998626667073579"/>
      </bottom>
      <diagonal/>
    </border>
    <border>
      <left/>
      <right style="medium">
        <color theme="4" tint="-0.24994659260841701"/>
      </right>
      <top/>
      <bottom style="dashDotDot">
        <color theme="1" tint="0.499984740745262"/>
      </bottom>
      <diagonal/>
    </border>
    <border>
      <left style="medium">
        <color theme="4" tint="-0.24994659260841701"/>
      </left>
      <right/>
      <top/>
      <bottom style="dashDotDot">
        <color theme="1" tint="0.499984740745262"/>
      </bottom>
      <diagonal/>
    </border>
    <border>
      <left style="medium">
        <color indexed="64"/>
      </left>
      <right/>
      <top/>
      <bottom style="dashDotDot">
        <color theme="1" tint="0.34998626667073579"/>
      </bottom>
      <diagonal/>
    </border>
    <border>
      <left/>
      <right style="medium">
        <color indexed="64"/>
      </right>
      <top/>
      <bottom style="dashDotDot">
        <color theme="1" tint="0.499984740745262"/>
      </bottom>
      <diagonal/>
    </border>
    <border>
      <left/>
      <right/>
      <top style="dashDotDot">
        <color theme="1" tint="0.499984740745262"/>
      </top>
      <bottom style="dashDotDot">
        <color theme="1" tint="0.499984740745262"/>
      </bottom>
      <diagonal/>
    </border>
    <border>
      <left/>
      <right style="medium">
        <color theme="4" tint="-0.24994659260841701"/>
      </right>
      <top style="dashDotDot">
        <color theme="1" tint="0.499984740745262"/>
      </top>
      <bottom style="dashDotDot">
        <color theme="1" tint="0.499984740745262"/>
      </bottom>
      <diagonal/>
    </border>
    <border>
      <left style="medium">
        <color theme="4" tint="-0.24994659260841701"/>
      </left>
      <right/>
      <top style="dashDotDot">
        <color theme="1" tint="0.499984740745262"/>
      </top>
      <bottom style="dashDotDot">
        <color theme="1" tint="0.499984740745262"/>
      </bottom>
      <diagonal/>
    </border>
    <border>
      <left style="medium">
        <color indexed="64"/>
      </left>
      <right/>
      <top style="dashDotDot">
        <color theme="1" tint="0.34998626667073579"/>
      </top>
      <bottom style="dashDotDot">
        <color theme="1" tint="0.34998626667073579"/>
      </bottom>
      <diagonal/>
    </border>
    <border>
      <left/>
      <right/>
      <top style="dashDotDot">
        <color theme="1" tint="0.34998626667073579"/>
      </top>
      <bottom style="dashDotDot">
        <color theme="1" tint="0.34998626667073579"/>
      </bottom>
      <diagonal/>
    </border>
    <border>
      <left/>
      <right style="medium">
        <color indexed="64"/>
      </right>
      <top style="dashDotDot">
        <color theme="1" tint="0.499984740745262"/>
      </top>
      <bottom style="dashDotDot">
        <color theme="1" tint="0.499984740745262"/>
      </bottom>
      <diagonal/>
    </border>
    <border>
      <left/>
      <right/>
      <top style="dashDotDot">
        <color theme="1" tint="0.499984740745262"/>
      </top>
      <bottom/>
      <diagonal/>
    </border>
    <border>
      <left/>
      <right style="medium">
        <color theme="4" tint="-0.24994659260841701"/>
      </right>
      <top style="dashDotDot">
        <color theme="1" tint="0.499984740745262"/>
      </top>
      <bottom/>
      <diagonal/>
    </border>
    <border>
      <left style="medium">
        <color theme="4" tint="-0.24994659260841701"/>
      </left>
      <right/>
      <top style="dashDotDot">
        <color theme="1" tint="0.499984740745262"/>
      </top>
      <bottom/>
      <diagonal/>
    </border>
    <border>
      <left style="medium">
        <color indexed="64"/>
      </left>
      <right/>
      <top style="dashDotDot">
        <color theme="1" tint="0.34998626667073579"/>
      </top>
      <bottom/>
      <diagonal/>
    </border>
    <border>
      <left/>
      <right/>
      <top style="dashDotDot">
        <color theme="1" tint="0.34998626667073579"/>
      </top>
      <bottom/>
      <diagonal/>
    </border>
    <border>
      <left/>
      <right style="medium">
        <color indexed="64"/>
      </right>
      <top style="dashDotDot">
        <color theme="1" tint="0.499984740745262"/>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style="thin">
        <color rgb="FFCCCCCC"/>
      </left>
      <right style="thin">
        <color rgb="FF000000"/>
      </right>
      <top style="thin">
        <color rgb="FFCCCCCC"/>
      </top>
      <bottom style="thin">
        <color rgb="FFCCCCCC"/>
      </bottom>
      <diagonal/>
    </border>
  </borders>
  <cellStyleXfs count="3">
    <xf numFmtId="0" fontId="0" fillId="0" borderId="0"/>
    <xf numFmtId="9" fontId="1" fillId="0" borderId="0" applyFont="0" applyFill="0" applyBorder="0" applyAlignment="0" applyProtection="0"/>
    <xf numFmtId="0" fontId="7" fillId="0" borderId="0" applyNumberFormat="0" applyFill="0" applyBorder="0" applyAlignment="0" applyProtection="0"/>
  </cellStyleXfs>
  <cellXfs count="555">
    <xf numFmtId="0" fontId="0" fillId="0" borderId="0" xfId="0"/>
    <xf numFmtId="0" fontId="6" fillId="0" borderId="0" xfId="0" applyFont="1" applyAlignment="1">
      <alignment horizontal="justify" vertical="center"/>
    </xf>
    <xf numFmtId="0" fontId="0" fillId="0" borderId="0" xfId="0" applyAlignment="1">
      <alignment horizontal="center"/>
    </xf>
    <xf numFmtId="0" fontId="0" fillId="0" borderId="0" xfId="0" applyAlignment="1">
      <alignment horizontal="center" wrapText="1"/>
    </xf>
    <xf numFmtId="0" fontId="0" fillId="0" borderId="0" xfId="0" applyAlignment="1">
      <alignment vertical="top" wrapText="1"/>
    </xf>
    <xf numFmtId="0" fontId="0" fillId="2" borderId="0" xfId="0" applyFill="1"/>
    <xf numFmtId="0" fontId="0" fillId="0" borderId="4" xfId="0" applyBorder="1"/>
    <xf numFmtId="0" fontId="4" fillId="0" borderId="0" xfId="0" applyFont="1"/>
    <xf numFmtId="0" fontId="0" fillId="0" borderId="6" xfId="0" applyBorder="1"/>
    <xf numFmtId="0" fontId="13" fillId="0" borderId="4" xfId="0" applyFont="1" applyBorder="1"/>
    <xf numFmtId="0" fontId="3" fillId="0" borderId="0" xfId="0" applyFont="1"/>
    <xf numFmtId="0" fontId="13" fillId="0" borderId="0" xfId="0" applyFont="1"/>
    <xf numFmtId="2" fontId="13" fillId="0" borderId="4" xfId="0" applyNumberFormat="1" applyFont="1" applyBorder="1"/>
    <xf numFmtId="2" fontId="0" fillId="0" borderId="0" xfId="0" applyNumberFormat="1"/>
    <xf numFmtId="0" fontId="0" fillId="4" borderId="0" xfId="0" applyFill="1" applyAlignment="1">
      <alignment vertical="center"/>
    </xf>
    <xf numFmtId="0" fontId="0" fillId="4" borderId="0" xfId="0" applyFill="1" applyAlignment="1">
      <alignment horizontal="center" vertical="center"/>
    </xf>
    <xf numFmtId="0" fontId="0" fillId="0" borderId="0" xfId="0" applyAlignment="1">
      <alignment vertical="center"/>
    </xf>
    <xf numFmtId="0" fontId="15" fillId="5" borderId="0" xfId="0" applyFont="1" applyFill="1" applyAlignment="1">
      <alignment vertical="top"/>
    </xf>
    <xf numFmtId="0" fontId="16" fillId="5" borderId="0" xfId="0" applyFont="1" applyFill="1"/>
    <xf numFmtId="0" fontId="16" fillId="5" borderId="0" xfId="0" applyFont="1" applyFill="1" applyAlignment="1">
      <alignment horizontal="center"/>
    </xf>
    <xf numFmtId="0" fontId="0" fillId="4" borderId="0" xfId="0" applyFill="1"/>
    <xf numFmtId="0" fontId="0" fillId="4" borderId="0" xfId="0" applyFill="1" applyAlignment="1">
      <alignment horizontal="center"/>
    </xf>
    <xf numFmtId="0" fontId="17" fillId="5" borderId="0" xfId="0" applyFont="1" applyFill="1" applyAlignment="1">
      <alignment horizontal="right" vertical="center"/>
    </xf>
    <xf numFmtId="0" fontId="16" fillId="4" borderId="0" xfId="0" applyFont="1" applyFill="1" applyAlignment="1">
      <alignment horizontal="center" vertical="center"/>
    </xf>
    <xf numFmtId="0" fontId="18" fillId="5" borderId="0" xfId="0" applyFont="1" applyFill="1" applyAlignment="1">
      <alignment vertical="center"/>
    </xf>
    <xf numFmtId="0" fontId="19" fillId="5" borderId="0" xfId="0" applyFont="1" applyFill="1" applyAlignment="1">
      <alignment horizontal="center" vertical="center"/>
    </xf>
    <xf numFmtId="0" fontId="17" fillId="5" borderId="0" xfId="0" applyFont="1" applyFill="1" applyAlignment="1">
      <alignment horizontal="right"/>
    </xf>
    <xf numFmtId="9" fontId="20" fillId="5" borderId="0" xfId="1" applyFont="1" applyFill="1" applyAlignment="1">
      <alignment horizontal="center" vertical="center"/>
    </xf>
    <xf numFmtId="0" fontId="5" fillId="5" borderId="0" xfId="0" applyFont="1" applyFill="1" applyAlignment="1">
      <alignment horizontal="left"/>
    </xf>
    <xf numFmtId="9" fontId="16" fillId="4" borderId="8" xfId="1" applyFont="1" applyFill="1" applyBorder="1" applyAlignment="1">
      <alignment horizontal="center" vertical="center"/>
    </xf>
    <xf numFmtId="0" fontId="20" fillId="5" borderId="0" xfId="0" applyFont="1" applyFill="1" applyAlignment="1">
      <alignment horizontal="center" vertical="center"/>
    </xf>
    <xf numFmtId="164" fontId="20" fillId="5" borderId="0" xfId="0" applyNumberFormat="1" applyFont="1" applyFill="1" applyAlignment="1">
      <alignment horizontal="left" vertical="center"/>
    </xf>
    <xf numFmtId="0" fontId="22" fillId="4" borderId="0" xfId="0" applyFont="1" applyFill="1" applyAlignment="1">
      <alignment vertical="center"/>
    </xf>
    <xf numFmtId="0" fontId="22" fillId="4" borderId="0" xfId="0" applyFont="1" applyFill="1" applyAlignment="1">
      <alignment horizontal="center" vertical="center"/>
    </xf>
    <xf numFmtId="0" fontId="22" fillId="0" borderId="0" xfId="0" applyFont="1" applyAlignment="1">
      <alignment vertical="center"/>
    </xf>
    <xf numFmtId="0" fontId="14" fillId="5" borderId="0" xfId="0" applyFont="1" applyFill="1" applyAlignment="1">
      <alignment horizontal="center" vertical="center"/>
    </xf>
    <xf numFmtId="0" fontId="23" fillId="5" borderId="0" xfId="0" applyFont="1" applyFill="1" applyAlignment="1">
      <alignment horizontal="center" vertical="center"/>
    </xf>
    <xf numFmtId="1" fontId="16" fillId="4" borderId="0" xfId="1" applyNumberFormat="1" applyFont="1" applyFill="1" applyBorder="1" applyAlignment="1">
      <alignment horizontal="center" vertical="center"/>
    </xf>
    <xf numFmtId="9" fontId="16" fillId="5" borderId="0" xfId="1" applyFont="1" applyFill="1" applyAlignment="1">
      <alignment horizontal="center"/>
    </xf>
    <xf numFmtId="0" fontId="22" fillId="0" borderId="0" xfId="0" applyFont="1"/>
    <xf numFmtId="9" fontId="19" fillId="5" borderId="0" xfId="1" applyFont="1" applyFill="1" applyAlignment="1">
      <alignment horizontal="center" vertical="center"/>
    </xf>
    <xf numFmtId="0" fontId="16" fillId="5" borderId="0" xfId="0" applyFont="1" applyFill="1" applyAlignment="1">
      <alignment horizontal="center" vertical="center"/>
    </xf>
    <xf numFmtId="0" fontId="24" fillId="4" borderId="0" xfId="0" applyFont="1" applyFill="1" applyAlignment="1">
      <alignment vertical="center"/>
    </xf>
    <xf numFmtId="0" fontId="14" fillId="5" borderId="0" xfId="0" applyFont="1" applyFill="1" applyAlignment="1">
      <alignment horizontal="center" vertical="center" wrapText="1"/>
    </xf>
    <xf numFmtId="0" fontId="15" fillId="5" borderId="0" xfId="0" applyFont="1" applyFill="1" applyAlignment="1">
      <alignment vertical="top" wrapText="1"/>
    </xf>
    <xf numFmtId="0" fontId="25" fillId="5" borderId="0" xfId="0" applyFont="1" applyFill="1"/>
    <xf numFmtId="0" fontId="26" fillId="5" borderId="0" xfId="0" applyFont="1" applyFill="1" applyAlignment="1">
      <alignment horizontal="center" vertical="top" wrapText="1"/>
    </xf>
    <xf numFmtId="0" fontId="16" fillId="4" borderId="0" xfId="0" applyFont="1" applyFill="1"/>
    <xf numFmtId="0" fontId="17" fillId="5" borderId="0" xfId="0" applyFont="1" applyFill="1" applyAlignment="1">
      <alignment horizontal="right" vertical="center" wrapText="1"/>
    </xf>
    <xf numFmtId="9" fontId="27" fillId="4" borderId="0" xfId="0" applyNumberFormat="1" applyFont="1" applyFill="1" applyAlignment="1">
      <alignment horizontal="center" vertical="center"/>
    </xf>
    <xf numFmtId="0" fontId="0" fillId="5" borderId="0" xfId="0" applyFill="1" applyAlignment="1">
      <alignment horizontal="center" vertical="top"/>
    </xf>
    <xf numFmtId="0" fontId="0" fillId="5" borderId="0" xfId="0" applyFill="1"/>
    <xf numFmtId="0" fontId="0" fillId="5" borderId="0" xfId="0" applyFill="1" applyAlignment="1">
      <alignment horizontal="center"/>
    </xf>
    <xf numFmtId="0" fontId="28" fillId="5" borderId="0" xfId="0" applyFont="1" applyFill="1" applyAlignment="1">
      <alignment horizontal="center" vertical="top"/>
    </xf>
    <xf numFmtId="0" fontId="5" fillId="5" borderId="0" xfId="0" applyFont="1" applyFill="1"/>
    <xf numFmtId="0" fontId="5" fillId="5" borderId="0" xfId="0" applyFont="1" applyFill="1" applyAlignment="1">
      <alignment vertical="center"/>
    </xf>
    <xf numFmtId="2" fontId="29" fillId="5" borderId="0" xfId="0" applyNumberFormat="1" applyFont="1" applyFill="1" applyAlignment="1">
      <alignment horizontal="center" vertical="center"/>
    </xf>
    <xf numFmtId="0" fontId="0" fillId="5" borderId="0" xfId="0" applyFill="1" applyAlignment="1">
      <alignment vertical="center"/>
    </xf>
    <xf numFmtId="0" fontId="0" fillId="5" borderId="0" xfId="0" applyFill="1" applyAlignment="1">
      <alignment horizontal="center" vertical="center"/>
    </xf>
    <xf numFmtId="0" fontId="5" fillId="5" borderId="11" xfId="0" applyFont="1" applyFill="1" applyBorder="1" applyAlignment="1">
      <alignment horizontal="center" vertical="center"/>
    </xf>
    <xf numFmtId="2" fontId="5" fillId="5" borderId="10" xfId="0" applyNumberFormat="1" applyFont="1" applyFill="1" applyBorder="1" applyAlignment="1">
      <alignment horizontal="center" vertical="center"/>
    </xf>
    <xf numFmtId="2" fontId="5" fillId="5" borderId="12" xfId="0" applyNumberFormat="1" applyFont="1" applyFill="1" applyBorder="1" applyAlignment="1">
      <alignment horizontal="center" vertical="center"/>
    </xf>
    <xf numFmtId="0" fontId="31" fillId="5" borderId="0" xfId="0" applyFont="1" applyFill="1" applyAlignment="1">
      <alignment vertical="center"/>
    </xf>
    <xf numFmtId="0" fontId="0" fillId="4" borderId="0" xfId="0" applyFill="1" applyAlignment="1">
      <alignment horizontal="center" vertical="top"/>
    </xf>
    <xf numFmtId="164" fontId="33" fillId="6" borderId="0" xfId="0" applyNumberFormat="1" applyFont="1" applyFill="1" applyAlignment="1">
      <alignment horizontal="center" vertical="center"/>
    </xf>
    <xf numFmtId="0" fontId="0" fillId="6" borderId="0" xfId="0" applyFill="1"/>
    <xf numFmtId="0" fontId="32" fillId="6" borderId="0" xfId="0" applyFont="1" applyFill="1" applyAlignment="1">
      <alignment horizontal="center" vertical="top"/>
    </xf>
    <xf numFmtId="0" fontId="23" fillId="6" borderId="0" xfId="0" applyFont="1" applyFill="1" applyAlignment="1">
      <alignment horizontal="center" vertical="center"/>
    </xf>
    <xf numFmtId="0" fontId="20" fillId="6" borderId="0" xfId="0" applyFont="1" applyFill="1"/>
    <xf numFmtId="0" fontId="23" fillId="6" borderId="0" xfId="0" applyFont="1" applyFill="1" applyAlignment="1">
      <alignment horizontal="center" vertical="center" wrapText="1"/>
    </xf>
    <xf numFmtId="0" fontId="32" fillId="4" borderId="0" xfId="0" applyFont="1" applyFill="1" applyAlignment="1">
      <alignment horizontal="center" vertical="top"/>
    </xf>
    <xf numFmtId="164" fontId="33" fillId="4" borderId="0" xfId="0" applyNumberFormat="1" applyFont="1" applyFill="1" applyAlignment="1">
      <alignment horizontal="center" vertical="center"/>
    </xf>
    <xf numFmtId="0" fontId="18" fillId="4" borderId="0" xfId="0" applyFont="1" applyFill="1" applyAlignment="1">
      <alignment horizontal="center" vertical="center"/>
    </xf>
    <xf numFmtId="0" fontId="18" fillId="4" borderId="0" xfId="0" applyFont="1" applyFill="1" applyAlignment="1">
      <alignment horizontal="center" vertical="center" wrapText="1"/>
    </xf>
    <xf numFmtId="0" fontId="0" fillId="6" borderId="0" xfId="0" applyFill="1" applyAlignment="1">
      <alignment horizontal="center"/>
    </xf>
    <xf numFmtId="0" fontId="37" fillId="6" borderId="0" xfId="0" applyFont="1" applyFill="1" applyAlignment="1">
      <alignment horizontal="right" vertical="top"/>
    </xf>
    <xf numFmtId="0" fontId="37" fillId="6" borderId="0" xfId="0" applyFont="1" applyFill="1" applyAlignment="1">
      <alignment horizontal="right" vertical="center"/>
    </xf>
    <xf numFmtId="11" fontId="38" fillId="6" borderId="0" xfId="0" applyNumberFormat="1" applyFont="1" applyFill="1" applyAlignment="1">
      <alignment horizontal="center" vertical="center"/>
    </xf>
    <xf numFmtId="11" fontId="38" fillId="6" borderId="0" xfId="0" applyNumberFormat="1" applyFont="1" applyFill="1"/>
    <xf numFmtId="0" fontId="39" fillId="6" borderId="0" xfId="0" applyFont="1" applyFill="1" applyAlignment="1">
      <alignment horizontal="right" vertical="top"/>
    </xf>
    <xf numFmtId="0" fontId="40" fillId="6" borderId="0" xfId="0" applyFont="1" applyFill="1" applyAlignment="1">
      <alignment horizontal="right"/>
    </xf>
    <xf numFmtId="11" fontId="37" fillId="6" borderId="0" xfId="0" applyNumberFormat="1" applyFont="1" applyFill="1" applyAlignment="1">
      <alignment horizontal="center"/>
    </xf>
    <xf numFmtId="11" fontId="37" fillId="6" borderId="0" xfId="0" applyNumberFormat="1" applyFont="1" applyFill="1"/>
    <xf numFmtId="11" fontId="37" fillId="6" borderId="0" xfId="0" applyNumberFormat="1" applyFont="1" applyFill="1" applyAlignment="1">
      <alignment horizontal="center" vertical="center"/>
    </xf>
    <xf numFmtId="2" fontId="0" fillId="4" borderId="0" xfId="0" applyNumberFormat="1" applyFill="1" applyAlignment="1">
      <alignment horizontal="center"/>
    </xf>
    <xf numFmtId="0" fontId="41" fillId="6" borderId="0" xfId="0" applyFont="1" applyFill="1" applyAlignment="1">
      <alignment horizontal="right"/>
    </xf>
    <xf numFmtId="2" fontId="42" fillId="6" borderId="0" xfId="0" applyNumberFormat="1" applyFont="1" applyFill="1" applyAlignment="1">
      <alignment horizontal="center" vertical="center"/>
    </xf>
    <xf numFmtId="0" fontId="42" fillId="6" borderId="0" xfId="0" applyFont="1" applyFill="1"/>
    <xf numFmtId="2" fontId="43" fillId="6" borderId="0" xfId="0" applyNumberFormat="1" applyFont="1" applyFill="1" applyAlignment="1">
      <alignment horizontal="right"/>
    </xf>
    <xf numFmtId="11" fontId="44" fillId="6" borderId="0" xfId="0" applyNumberFormat="1" applyFont="1" applyFill="1" applyAlignment="1">
      <alignment horizontal="left" vertical="center"/>
    </xf>
    <xf numFmtId="0" fontId="45" fillId="6" borderId="0" xfId="0" applyFont="1" applyFill="1"/>
    <xf numFmtId="0" fontId="45" fillId="6" borderId="0" xfId="0" applyFont="1" applyFill="1" applyAlignment="1">
      <alignment horizontal="right"/>
    </xf>
    <xf numFmtId="11" fontId="45" fillId="6" borderId="0" xfId="0" applyNumberFormat="1" applyFont="1" applyFill="1" applyAlignment="1">
      <alignment horizontal="center"/>
    </xf>
    <xf numFmtId="11" fontId="45" fillId="6" borderId="0" xfId="0" applyNumberFormat="1" applyFont="1" applyFill="1"/>
    <xf numFmtId="11" fontId="45" fillId="6" borderId="0" xfId="0" applyNumberFormat="1" applyFont="1" applyFill="1" applyAlignment="1">
      <alignment horizontal="center" vertical="center"/>
    </xf>
    <xf numFmtId="0" fontId="45" fillId="4" borderId="0" xfId="0" applyFont="1" applyFill="1"/>
    <xf numFmtId="0" fontId="45" fillId="4" borderId="0" xfId="0" applyFont="1" applyFill="1" applyAlignment="1">
      <alignment horizontal="right"/>
    </xf>
    <xf numFmtId="11" fontId="45" fillId="4" borderId="0" xfId="0" applyNumberFormat="1" applyFont="1" applyFill="1" applyAlignment="1">
      <alignment horizontal="center"/>
    </xf>
    <xf numFmtId="11" fontId="45" fillId="4" borderId="0" xfId="0" applyNumberFormat="1" applyFont="1" applyFill="1"/>
    <xf numFmtId="11" fontId="45" fillId="4" borderId="0" xfId="0" applyNumberFormat="1" applyFont="1" applyFill="1" applyAlignment="1">
      <alignment horizontal="center" vertical="center"/>
    </xf>
    <xf numFmtId="0" fontId="45" fillId="6" borderId="0" xfId="0" applyFont="1" applyFill="1" applyAlignment="1">
      <alignment horizontal="right" vertical="center"/>
    </xf>
    <xf numFmtId="0" fontId="39" fillId="6" borderId="0" xfId="0" applyFont="1" applyFill="1" applyAlignment="1">
      <alignment horizontal="right" vertical="center" wrapText="1"/>
    </xf>
    <xf numFmtId="0" fontId="46" fillId="6" borderId="0" xfId="0" applyFont="1" applyFill="1" applyAlignment="1">
      <alignment horizontal="center" vertical="center"/>
    </xf>
    <xf numFmtId="0" fontId="38" fillId="6" borderId="0" xfId="0" applyFont="1" applyFill="1"/>
    <xf numFmtId="2" fontId="38" fillId="6" borderId="0" xfId="0" applyNumberFormat="1" applyFont="1" applyFill="1" applyAlignment="1">
      <alignment horizontal="center" vertical="center"/>
    </xf>
    <xf numFmtId="0" fontId="41" fillId="4" borderId="0" xfId="0" applyFont="1" applyFill="1" applyAlignment="1">
      <alignment horizontal="right"/>
    </xf>
    <xf numFmtId="2" fontId="38" fillId="4" borderId="0" xfId="0" applyNumberFormat="1" applyFont="1" applyFill="1" applyAlignment="1">
      <alignment horizontal="center" vertical="center"/>
    </xf>
    <xf numFmtId="0" fontId="38" fillId="4" borderId="0" xfId="0" applyFont="1" applyFill="1"/>
    <xf numFmtId="0" fontId="38" fillId="6" borderId="0" xfId="0" applyFont="1" applyFill="1" applyAlignment="1">
      <alignment horizontal="center" vertical="center"/>
    </xf>
    <xf numFmtId="2" fontId="47" fillId="6" borderId="0" xfId="0" applyNumberFormat="1" applyFont="1" applyFill="1" applyAlignment="1">
      <alignment horizontal="center" vertical="center"/>
    </xf>
    <xf numFmtId="0" fontId="47" fillId="6" borderId="0" xfId="0" applyFont="1" applyFill="1"/>
    <xf numFmtId="0" fontId="45" fillId="4" borderId="0" xfId="0" applyFont="1" applyFill="1" applyAlignment="1">
      <alignment horizontal="center"/>
    </xf>
    <xf numFmtId="2" fontId="47" fillId="4" borderId="0" xfId="0" applyNumberFormat="1" applyFont="1" applyFill="1" applyAlignment="1">
      <alignment horizontal="center" vertical="center"/>
    </xf>
    <xf numFmtId="0" fontId="47" fillId="4" borderId="0" xfId="0" applyFont="1" applyFill="1"/>
    <xf numFmtId="0" fontId="49" fillId="6" borderId="0" xfId="0" applyFont="1" applyFill="1" applyAlignment="1">
      <alignment horizontal="right"/>
    </xf>
    <xf numFmtId="2" fontId="50" fillId="6" borderId="0" xfId="0" applyNumberFormat="1" applyFont="1" applyFill="1" applyAlignment="1">
      <alignment horizontal="center" vertical="center"/>
    </xf>
    <xf numFmtId="0" fontId="27" fillId="6" borderId="0" xfId="0" applyFont="1" applyFill="1" applyAlignment="1">
      <alignment horizontal="center" vertical="center"/>
    </xf>
    <xf numFmtId="0" fontId="50" fillId="6" borderId="0" xfId="0" applyFont="1" applyFill="1"/>
    <xf numFmtId="0" fontId="3" fillId="4" borderId="0" xfId="0" applyFont="1" applyFill="1" applyAlignment="1">
      <alignment horizontal="center"/>
    </xf>
    <xf numFmtId="0" fontId="3" fillId="4" borderId="0" xfId="0" applyFont="1" applyFill="1" applyAlignment="1">
      <alignment wrapText="1"/>
    </xf>
    <xf numFmtId="0" fontId="46" fillId="4" borderId="0" xfId="0" applyFont="1" applyFill="1" applyAlignment="1">
      <alignment horizontal="center" vertical="center"/>
    </xf>
    <xf numFmtId="164" fontId="51" fillId="4" borderId="13" xfId="0" applyNumberFormat="1" applyFont="1" applyFill="1" applyBorder="1" applyAlignment="1">
      <alignment vertical="center"/>
    </xf>
    <xf numFmtId="0" fontId="37" fillId="4" borderId="0" xfId="0" applyFont="1" applyFill="1" applyAlignment="1">
      <alignment vertical="center" wrapText="1"/>
    </xf>
    <xf numFmtId="0" fontId="56" fillId="4" borderId="0" xfId="0" applyFont="1" applyFill="1" applyAlignment="1">
      <alignment vertical="center"/>
    </xf>
    <xf numFmtId="164" fontId="51" fillId="4" borderId="14" xfId="0" applyNumberFormat="1" applyFont="1" applyFill="1" applyBorder="1" applyAlignment="1">
      <alignment vertical="center"/>
    </xf>
    <xf numFmtId="0" fontId="57" fillId="4" borderId="0" xfId="0" applyFont="1" applyFill="1" applyAlignment="1">
      <alignment horizontal="justify" vertical="center" wrapText="1"/>
    </xf>
    <xf numFmtId="0" fontId="58" fillId="4" borderId="0" xfId="0" applyFont="1" applyFill="1" applyAlignment="1">
      <alignment horizontal="justify" vertical="center" wrapText="1"/>
    </xf>
    <xf numFmtId="0" fontId="32" fillId="4" borderId="15" xfId="0" applyFont="1" applyFill="1" applyBorder="1" applyAlignment="1">
      <alignment horizontal="center" vertical="top"/>
    </xf>
    <xf numFmtId="0" fontId="0" fillId="4" borderId="16" xfId="0" applyFill="1" applyBorder="1"/>
    <xf numFmtId="0" fontId="0" fillId="4" borderId="21" xfId="0" applyFill="1" applyBorder="1"/>
    <xf numFmtId="0" fontId="0" fillId="4" borderId="22" xfId="0" applyFill="1" applyBorder="1"/>
    <xf numFmtId="0" fontId="37" fillId="4" borderId="22" xfId="0" applyFont="1" applyFill="1" applyBorder="1" applyAlignment="1">
      <alignment vertical="center" wrapText="1"/>
    </xf>
    <xf numFmtId="0" fontId="56" fillId="4" borderId="22" xfId="0" applyFont="1" applyFill="1" applyBorder="1" applyAlignment="1">
      <alignment vertical="center"/>
    </xf>
    <xf numFmtId="0" fontId="0" fillId="4" borderId="22" xfId="0" applyFill="1" applyBorder="1" applyAlignment="1">
      <alignment horizontal="center"/>
    </xf>
    <xf numFmtId="0" fontId="0" fillId="4" borderId="23" xfId="0" applyFill="1" applyBorder="1"/>
    <xf numFmtId="0" fontId="0" fillId="0" borderId="0" xfId="0" applyAlignment="1">
      <alignment horizontal="right"/>
    </xf>
    <xf numFmtId="11" fontId="0" fillId="0" borderId="0" xfId="0" applyNumberFormat="1" applyAlignment="1">
      <alignment horizontal="center"/>
    </xf>
    <xf numFmtId="9" fontId="0" fillId="0" borderId="0" xfId="1" applyFont="1" applyAlignment="1">
      <alignment horizontal="center"/>
    </xf>
    <xf numFmtId="2" fontId="0" fillId="0" borderId="0" xfId="0" applyNumberFormat="1" applyAlignment="1">
      <alignment horizontal="center"/>
    </xf>
    <xf numFmtId="0" fontId="59" fillId="7" borderId="24" xfId="0" applyFont="1" applyFill="1" applyBorder="1" applyAlignment="1">
      <alignment horizontal="center" vertical="center" wrapText="1"/>
    </xf>
    <xf numFmtId="2" fontId="61" fillId="0" borderId="25" xfId="0" applyNumberFormat="1" applyFont="1" applyBorder="1" applyAlignment="1">
      <alignment horizontal="center" vertical="center"/>
    </xf>
    <xf numFmtId="2" fontId="62" fillId="0" borderId="25" xfId="0" applyNumberFormat="1" applyFont="1" applyBorder="1" applyAlignment="1">
      <alignment horizontal="center" vertical="center"/>
    </xf>
    <xf numFmtId="2" fontId="62" fillId="0" borderId="25" xfId="0" applyNumberFormat="1" applyFont="1" applyBorder="1" applyAlignment="1">
      <alignment horizontal="center" vertical="center" wrapText="1"/>
    </xf>
    <xf numFmtId="0" fontId="61" fillId="0" borderId="26" xfId="0" applyFont="1" applyBorder="1" applyAlignment="1">
      <alignment horizontal="center" vertical="center" wrapText="1"/>
    </xf>
    <xf numFmtId="0" fontId="63" fillId="0" borderId="4" xfId="0" applyFont="1" applyBorder="1" applyAlignment="1">
      <alignment horizontal="center" vertical="center" wrapText="1"/>
    </xf>
    <xf numFmtId="11" fontId="52" fillId="0" borderId="4" xfId="0" applyNumberFormat="1" applyFont="1" applyBorder="1" applyAlignment="1">
      <alignment horizontal="center" vertical="center"/>
    </xf>
    <xf numFmtId="11" fontId="0" fillId="0" borderId="4" xfId="0" applyNumberFormat="1" applyBorder="1"/>
    <xf numFmtId="0" fontId="63" fillId="0" borderId="26" xfId="0" applyFont="1" applyBorder="1" applyAlignment="1">
      <alignment horizontal="center" vertical="center" wrapText="1"/>
    </xf>
    <xf numFmtId="0" fontId="59" fillId="7" borderId="24" xfId="0" applyFont="1" applyFill="1" applyBorder="1" applyAlignment="1">
      <alignment horizontal="center" vertical="center"/>
    </xf>
    <xf numFmtId="11" fontId="4" fillId="0" borderId="0" xfId="0" applyNumberFormat="1" applyFont="1" applyAlignment="1">
      <alignment horizontal="center" vertical="center" wrapText="1"/>
    </xf>
    <xf numFmtId="11" fontId="0" fillId="0" borderId="0" xfId="0" applyNumberFormat="1"/>
    <xf numFmtId="0" fontId="64" fillId="0" borderId="0" xfId="0" applyFont="1" applyAlignment="1">
      <alignment horizontal="center" vertical="center"/>
    </xf>
    <xf numFmtId="11" fontId="3" fillId="0" borderId="0" xfId="0" applyNumberFormat="1" applyFont="1" applyAlignment="1">
      <alignment horizontal="center"/>
    </xf>
    <xf numFmtId="0" fontId="65" fillId="0" borderId="0" xfId="0" applyFont="1" applyAlignment="1">
      <alignment horizontal="center" vertical="center" wrapText="1"/>
    </xf>
    <xf numFmtId="0" fontId="0" fillId="0" borderId="0" xfId="0" applyAlignment="1">
      <alignment horizontal="left" vertical="center"/>
    </xf>
    <xf numFmtId="49" fontId="0" fillId="0" borderId="0" xfId="0" applyNumberFormat="1" applyAlignment="1">
      <alignment horizontal="center"/>
    </xf>
    <xf numFmtId="49" fontId="0" fillId="0" borderId="0" xfId="0" applyNumberFormat="1" applyAlignment="1">
      <alignment horizontal="right"/>
    </xf>
    <xf numFmtId="9" fontId="0" fillId="0" borderId="0" xfId="0" applyNumberFormat="1" applyAlignment="1">
      <alignment horizontal="center"/>
    </xf>
    <xf numFmtId="0" fontId="56" fillId="0" borderId="0" xfId="0" applyFont="1"/>
    <xf numFmtId="0" fontId="69" fillId="0" borderId="0" xfId="0" applyFont="1"/>
    <xf numFmtId="10" fontId="56" fillId="0" borderId="0" xfId="0" applyNumberFormat="1" applyFont="1"/>
    <xf numFmtId="0" fontId="71" fillId="0" borderId="0" xfId="0" applyFont="1" applyAlignment="1">
      <alignment vertical="center"/>
    </xf>
    <xf numFmtId="0" fontId="72" fillId="0" borderId="0" xfId="0" applyFont="1" applyAlignment="1">
      <alignment vertical="center"/>
    </xf>
    <xf numFmtId="0" fontId="71" fillId="0" borderId="0" xfId="0" applyFont="1" applyAlignment="1">
      <alignment horizontal="center" vertical="center"/>
    </xf>
    <xf numFmtId="0" fontId="73" fillId="0" borderId="0" xfId="0" applyFont="1" applyAlignment="1">
      <alignment horizontal="center"/>
    </xf>
    <xf numFmtId="0" fontId="69" fillId="0" borderId="0" xfId="0" applyFont="1" applyAlignment="1">
      <alignment horizontal="center"/>
    </xf>
    <xf numFmtId="0" fontId="74" fillId="11" borderId="32" xfId="0" applyFont="1" applyFill="1" applyBorder="1" applyAlignment="1">
      <alignment horizontal="center" vertical="center"/>
    </xf>
    <xf numFmtId="0" fontId="74" fillId="11" borderId="0" xfId="0" applyFont="1" applyFill="1" applyAlignment="1">
      <alignment horizontal="center" vertical="center"/>
    </xf>
    <xf numFmtId="0" fontId="74" fillId="8" borderId="34" xfId="0" applyFont="1" applyFill="1" applyBorder="1" applyAlignment="1">
      <alignment horizontal="center" vertical="center"/>
    </xf>
    <xf numFmtId="0" fontId="74" fillId="8" borderId="0" xfId="0" applyFont="1" applyFill="1" applyAlignment="1">
      <alignment horizontal="center" vertical="center"/>
    </xf>
    <xf numFmtId="0" fontId="74" fillId="12" borderId="34" xfId="0" applyFont="1" applyFill="1" applyBorder="1" applyAlignment="1">
      <alignment horizontal="center"/>
    </xf>
    <xf numFmtId="0" fontId="79" fillId="12" borderId="0" xfId="0" applyFont="1" applyFill="1" applyAlignment="1">
      <alignment horizontal="center" vertical="center"/>
    </xf>
    <xf numFmtId="0" fontId="79" fillId="12" borderId="0" xfId="0" applyFont="1" applyFill="1" applyAlignment="1">
      <alignment horizontal="center"/>
    </xf>
    <xf numFmtId="0" fontId="79" fillId="9" borderId="15" xfId="0" applyFont="1" applyFill="1" applyBorder="1" applyAlignment="1">
      <alignment horizontal="center"/>
    </xf>
    <xf numFmtId="0" fontId="79" fillId="9" borderId="0" xfId="0" applyFont="1" applyFill="1" applyAlignment="1">
      <alignment horizontal="center"/>
    </xf>
    <xf numFmtId="0" fontId="82" fillId="10" borderId="15" xfId="0" applyFont="1" applyFill="1" applyBorder="1" applyAlignment="1">
      <alignment horizontal="center" vertical="center"/>
    </xf>
    <xf numFmtId="0" fontId="82" fillId="10" borderId="0" xfId="0" applyFont="1" applyFill="1" applyAlignment="1">
      <alignment horizontal="center"/>
    </xf>
    <xf numFmtId="0" fontId="69" fillId="0" borderId="0" xfId="0" applyFont="1" applyAlignment="1">
      <alignment vertical="center"/>
    </xf>
    <xf numFmtId="0" fontId="86" fillId="11" borderId="32" xfId="0" applyFont="1" applyFill="1" applyBorder="1" applyAlignment="1">
      <alignment vertical="center" wrapText="1"/>
    </xf>
    <xf numFmtId="0" fontId="86" fillId="11" borderId="0" xfId="0" applyFont="1" applyFill="1" applyAlignment="1">
      <alignment vertical="center" wrapText="1"/>
    </xf>
    <xf numFmtId="0" fontId="86" fillId="8" borderId="34" xfId="0" applyFont="1" applyFill="1" applyBorder="1" applyAlignment="1">
      <alignment vertical="center" wrapText="1"/>
    </xf>
    <xf numFmtId="0" fontId="86" fillId="8" borderId="0" xfId="0" applyFont="1" applyFill="1" applyAlignment="1">
      <alignment vertical="center" wrapText="1"/>
    </xf>
    <xf numFmtId="0" fontId="86" fillId="12" borderId="34" xfId="0" applyFont="1" applyFill="1" applyBorder="1" applyAlignment="1">
      <alignment vertical="center" wrapText="1"/>
    </xf>
    <xf numFmtId="0" fontId="86" fillId="12" borderId="0" xfId="0" applyFont="1" applyFill="1" applyAlignment="1">
      <alignment horizontal="left" vertical="center" wrapText="1"/>
    </xf>
    <xf numFmtId="0" fontId="86" fillId="12" borderId="0" xfId="0" applyFont="1" applyFill="1" applyAlignment="1">
      <alignment vertical="center" wrapText="1"/>
    </xf>
    <xf numFmtId="0" fontId="5" fillId="12" borderId="0" xfId="0" applyFont="1" applyFill="1" applyAlignment="1">
      <alignment vertical="center"/>
    </xf>
    <xf numFmtId="0" fontId="86" fillId="9" borderId="15" xfId="0" applyFont="1" applyFill="1" applyBorder="1" applyAlignment="1">
      <alignment vertical="center" wrapText="1"/>
    </xf>
    <xf numFmtId="0" fontId="86" fillId="9" borderId="0" xfId="0" applyFont="1" applyFill="1" applyAlignment="1">
      <alignment vertical="center" wrapText="1"/>
    </xf>
    <xf numFmtId="0" fontId="87" fillId="10" borderId="15" xfId="0" applyFont="1" applyFill="1" applyBorder="1" applyAlignment="1">
      <alignment horizontal="left" vertical="center" wrapText="1"/>
    </xf>
    <xf numFmtId="0" fontId="87" fillId="10" borderId="0" xfId="0" applyFont="1" applyFill="1" applyAlignment="1">
      <alignment vertical="center" wrapText="1"/>
    </xf>
    <xf numFmtId="0" fontId="0" fillId="0" borderId="0" xfId="0" applyAlignment="1">
      <alignment horizontal="right" vertical="center"/>
    </xf>
    <xf numFmtId="0" fontId="86" fillId="11" borderId="32" xfId="0" applyFont="1" applyFill="1" applyBorder="1" applyAlignment="1">
      <alignment vertical="center"/>
    </xf>
    <xf numFmtId="0" fontId="2" fillId="11" borderId="33" xfId="0" applyFont="1" applyFill="1" applyBorder="1" applyAlignment="1">
      <alignment horizontal="right" vertical="center"/>
    </xf>
    <xf numFmtId="0" fontId="86" fillId="8" borderId="34" xfId="0" applyFont="1" applyFill="1" applyBorder="1" applyAlignment="1">
      <alignment vertical="center"/>
    </xf>
    <xf numFmtId="0" fontId="2" fillId="8" borderId="33" xfId="0" applyFont="1" applyFill="1" applyBorder="1" applyAlignment="1">
      <alignment horizontal="right" vertical="center" wrapText="1"/>
    </xf>
    <xf numFmtId="0" fontId="86" fillId="12" borderId="0" xfId="0" applyFont="1" applyFill="1" applyAlignment="1">
      <alignment horizontal="left" vertical="center"/>
    </xf>
    <xf numFmtId="0" fontId="2" fillId="12" borderId="0" xfId="0" applyFont="1" applyFill="1" applyAlignment="1">
      <alignment horizontal="right" vertical="center" wrapText="1"/>
    </xf>
    <xf numFmtId="0" fontId="86" fillId="9" borderId="15" xfId="0" applyFont="1" applyFill="1" applyBorder="1" applyAlignment="1">
      <alignment vertical="center"/>
    </xf>
    <xf numFmtId="0" fontId="2" fillId="9" borderId="16" xfId="0" applyFont="1" applyFill="1" applyBorder="1" applyAlignment="1">
      <alignment horizontal="right" vertical="center"/>
    </xf>
    <xf numFmtId="0" fontId="87" fillId="10" borderId="15" xfId="0" applyFont="1" applyFill="1" applyBorder="1" applyAlignment="1">
      <alignment horizontal="left" vertical="center"/>
    </xf>
    <xf numFmtId="0" fontId="89" fillId="10" borderId="16" xfId="0" applyFont="1" applyFill="1" applyBorder="1" applyAlignment="1">
      <alignment horizontal="right" vertical="center"/>
    </xf>
    <xf numFmtId="0" fontId="90" fillId="7" borderId="0" xfId="0" applyFont="1" applyFill="1" applyAlignment="1">
      <alignment vertical="center"/>
    </xf>
    <xf numFmtId="0" fontId="91" fillId="7" borderId="0" xfId="0" applyFont="1" applyFill="1" applyAlignment="1">
      <alignment vertical="center"/>
    </xf>
    <xf numFmtId="0" fontId="37" fillId="7" borderId="0" xfId="0" applyFont="1" applyFill="1"/>
    <xf numFmtId="10" fontId="37" fillId="7" borderId="32" xfId="0" applyNumberFormat="1" applyFont="1" applyFill="1" applyBorder="1" applyAlignment="1">
      <alignment horizontal="center"/>
    </xf>
    <xf numFmtId="0" fontId="90" fillId="7" borderId="0" xfId="0" applyFont="1" applyFill="1" applyAlignment="1">
      <alignment horizontal="right"/>
    </xf>
    <xf numFmtId="0" fontId="37" fillId="7" borderId="0" xfId="0" applyFont="1" applyFill="1" applyAlignment="1">
      <alignment horizontal="center"/>
    </xf>
    <xf numFmtId="0" fontId="90" fillId="7" borderId="0" xfId="0" applyFont="1" applyFill="1"/>
    <xf numFmtId="0" fontId="37" fillId="7" borderId="15" xfId="0" applyFont="1" applyFill="1" applyBorder="1"/>
    <xf numFmtId="10" fontId="37" fillId="7" borderId="0" xfId="0" applyNumberFormat="1" applyFont="1" applyFill="1"/>
    <xf numFmtId="0" fontId="90" fillId="7" borderId="16" xfId="0" applyFont="1" applyFill="1" applyBorder="1"/>
    <xf numFmtId="0" fontId="92" fillId="7" borderId="0" xfId="0" applyFont="1" applyFill="1" applyAlignment="1">
      <alignment horizontal="center"/>
    </xf>
    <xf numFmtId="10" fontId="92" fillId="7" borderId="0" xfId="0" applyNumberFormat="1" applyFont="1" applyFill="1"/>
    <xf numFmtId="0" fontId="92" fillId="7" borderId="0" xfId="0" applyFont="1" applyFill="1"/>
    <xf numFmtId="0" fontId="93" fillId="7" borderId="16" xfId="0" applyFont="1" applyFill="1" applyBorder="1"/>
    <xf numFmtId="0" fontId="37" fillId="0" borderId="0" xfId="0" applyFont="1"/>
    <xf numFmtId="0" fontId="0" fillId="0" borderId="36" xfId="0" applyBorder="1" applyAlignment="1">
      <alignment horizontal="center" vertical="center"/>
    </xf>
    <xf numFmtId="0" fontId="69" fillId="0" borderId="37" xfId="0" applyFont="1" applyBorder="1" applyAlignment="1">
      <alignment horizontal="center" vertical="center"/>
    </xf>
    <xf numFmtId="0" fontId="0" fillId="0" borderId="36" xfId="0" applyBorder="1" applyAlignment="1">
      <alignment vertical="center"/>
    </xf>
    <xf numFmtId="0" fontId="55" fillId="0" borderId="36" xfId="0" applyFont="1" applyBorder="1" applyAlignment="1">
      <alignment horizontal="center" vertical="center" wrapText="1"/>
    </xf>
    <xf numFmtId="10" fontId="0" fillId="0" borderId="38" xfId="0" applyNumberFormat="1" applyBorder="1" applyAlignment="1">
      <alignment horizontal="center"/>
    </xf>
    <xf numFmtId="0" fontId="5" fillId="11" borderId="39" xfId="0" applyFont="1" applyFill="1" applyBorder="1" applyAlignment="1">
      <alignment horizontal="right"/>
    </xf>
    <xf numFmtId="0" fontId="0" fillId="0" borderId="36" xfId="0" applyBorder="1" applyAlignment="1">
      <alignment horizontal="center"/>
    </xf>
    <xf numFmtId="11" fontId="0" fillId="0" borderId="36" xfId="0" applyNumberFormat="1" applyBorder="1"/>
    <xf numFmtId="0" fontId="0" fillId="0" borderId="36" xfId="0" applyBorder="1"/>
    <xf numFmtId="11" fontId="5" fillId="8" borderId="39" xfId="0" applyNumberFormat="1" applyFont="1" applyFill="1" applyBorder="1" applyAlignment="1">
      <alignment horizontal="right"/>
    </xf>
    <xf numFmtId="11" fontId="5" fillId="8" borderId="37" xfId="0" applyNumberFormat="1" applyFont="1" applyFill="1" applyBorder="1" applyAlignment="1">
      <alignment horizontal="right"/>
    </xf>
    <xf numFmtId="0" fontId="0" fillId="0" borderId="40" xfId="0" applyBorder="1" applyAlignment="1">
      <alignment horizontal="center"/>
    </xf>
    <xf numFmtId="10" fontId="0" fillId="0" borderId="37" xfId="0" applyNumberFormat="1" applyBorder="1" applyAlignment="1">
      <alignment horizontal="center"/>
    </xf>
    <xf numFmtId="0" fontId="5" fillId="12" borderId="36" xfId="0" applyFont="1" applyFill="1" applyBorder="1" applyAlignment="1">
      <alignment horizontal="right"/>
    </xf>
    <xf numFmtId="0" fontId="0" fillId="0" borderId="41" xfId="0" applyBorder="1" applyAlignment="1">
      <alignment horizontal="center"/>
    </xf>
    <xf numFmtId="0" fontId="0" fillId="0" borderId="37" xfId="0" applyBorder="1" applyAlignment="1">
      <alignment horizontal="center"/>
    </xf>
    <xf numFmtId="0" fontId="0" fillId="0" borderId="37" xfId="0" applyBorder="1"/>
    <xf numFmtId="0" fontId="5" fillId="9" borderId="42" xfId="0" applyFont="1" applyFill="1" applyBorder="1"/>
    <xf numFmtId="10" fontId="46" fillId="0" borderId="37" xfId="0" applyNumberFormat="1" applyFont="1" applyBorder="1" applyAlignment="1">
      <alignment horizontal="center"/>
    </xf>
    <xf numFmtId="0" fontId="46" fillId="0" borderId="36" xfId="0" applyFont="1" applyBorder="1"/>
    <xf numFmtId="0" fontId="84" fillId="10" borderId="42" xfId="0" applyFont="1" applyFill="1" applyBorder="1"/>
    <xf numFmtId="0" fontId="0" fillId="0" borderId="43" xfId="0" applyBorder="1" applyAlignment="1">
      <alignment vertical="center"/>
    </xf>
    <xf numFmtId="0" fontId="55" fillId="0" borderId="43" xfId="0" applyFont="1" applyBorder="1" applyAlignment="1">
      <alignment horizontal="center" vertical="center" wrapText="1"/>
    </xf>
    <xf numFmtId="0" fontId="5" fillId="11" borderId="44" xfId="0" applyFont="1" applyFill="1" applyBorder="1" applyAlignment="1">
      <alignment horizontal="right"/>
    </xf>
    <xf numFmtId="0" fontId="0" fillId="0" borderId="43" xfId="0" applyBorder="1" applyAlignment="1">
      <alignment horizontal="center"/>
    </xf>
    <xf numFmtId="0" fontId="0" fillId="0" borderId="43" xfId="0" applyBorder="1"/>
    <xf numFmtId="0" fontId="0" fillId="0" borderId="45" xfId="0" applyBorder="1" applyAlignment="1">
      <alignment horizontal="center"/>
    </xf>
    <xf numFmtId="0" fontId="5" fillId="12" borderId="43" xfId="0" applyFont="1" applyFill="1" applyBorder="1" applyAlignment="1">
      <alignment horizontal="right"/>
    </xf>
    <xf numFmtId="0" fontId="0" fillId="0" borderId="46" xfId="0" applyBorder="1" applyAlignment="1">
      <alignment horizontal="center"/>
    </xf>
    <xf numFmtId="10" fontId="0" fillId="0" borderId="47" xfId="0" applyNumberFormat="1" applyBorder="1" applyAlignment="1">
      <alignment horizontal="center"/>
    </xf>
    <xf numFmtId="0" fontId="5" fillId="9" borderId="48" xfId="0" applyFont="1" applyFill="1" applyBorder="1"/>
    <xf numFmtId="0" fontId="84" fillId="10" borderId="48" xfId="0" applyFont="1" applyFill="1" applyBorder="1"/>
    <xf numFmtId="0" fontId="0" fillId="0" borderId="49" xfId="0" applyBorder="1"/>
    <xf numFmtId="0" fontId="55" fillId="0" borderId="49" xfId="0" applyFont="1" applyBorder="1" applyAlignment="1">
      <alignment horizontal="center" vertical="center" wrapText="1"/>
    </xf>
    <xf numFmtId="0" fontId="5" fillId="11" borderId="50" xfId="0" applyFont="1" applyFill="1" applyBorder="1" applyAlignment="1">
      <alignment horizontal="right"/>
    </xf>
    <xf numFmtId="0" fontId="0" fillId="0" borderId="49" xfId="0" applyBorder="1" applyAlignment="1">
      <alignment horizontal="center"/>
    </xf>
    <xf numFmtId="0" fontId="0" fillId="0" borderId="51" xfId="0" applyBorder="1" applyAlignment="1">
      <alignment horizontal="center"/>
    </xf>
    <xf numFmtId="0" fontId="5" fillId="12" borderId="49" xfId="0" applyFont="1" applyFill="1" applyBorder="1" applyAlignment="1">
      <alignment horizontal="right"/>
    </xf>
    <xf numFmtId="0" fontId="0" fillId="0" borderId="52" xfId="0" applyBorder="1" applyAlignment="1">
      <alignment horizontal="center"/>
    </xf>
    <xf numFmtId="10" fontId="0" fillId="0" borderId="53" xfId="0" applyNumberFormat="1" applyBorder="1" applyAlignment="1">
      <alignment horizontal="center"/>
    </xf>
    <xf numFmtId="0" fontId="5" fillId="9" borderId="54" xfId="0" applyFont="1" applyFill="1" applyBorder="1"/>
    <xf numFmtId="0" fontId="84" fillId="10" borderId="54" xfId="0" applyFont="1" applyFill="1" applyBorder="1"/>
    <xf numFmtId="0" fontId="5" fillId="8" borderId="37" xfId="0" applyFont="1" applyFill="1" applyBorder="1" applyAlignment="1">
      <alignment horizontal="right"/>
    </xf>
    <xf numFmtId="0" fontId="0" fillId="0" borderId="43" xfId="0" applyBorder="1" applyAlignment="1">
      <alignment horizontal="center" vertical="center"/>
    </xf>
    <xf numFmtId="0" fontId="5" fillId="8" borderId="47" xfId="0" applyFont="1" applyFill="1" applyBorder="1" applyAlignment="1">
      <alignment horizontal="right"/>
    </xf>
    <xf numFmtId="0" fontId="0" fillId="0" borderId="49" xfId="0" applyBorder="1" applyAlignment="1">
      <alignment horizontal="center" vertical="center"/>
    </xf>
    <xf numFmtId="0" fontId="37" fillId="7" borderId="0" xfId="0" applyFont="1" applyFill="1" applyAlignment="1">
      <alignment horizontal="right"/>
    </xf>
    <xf numFmtId="165" fontId="90" fillId="7" borderId="16" xfId="0" applyNumberFormat="1" applyFont="1" applyFill="1" applyBorder="1"/>
    <xf numFmtId="11" fontId="5" fillId="12" borderId="36" xfId="0" applyNumberFormat="1" applyFont="1" applyFill="1" applyBorder="1" applyAlignment="1">
      <alignment horizontal="right"/>
    </xf>
    <xf numFmtId="11" fontId="5" fillId="9" borderId="42" xfId="0" applyNumberFormat="1" applyFont="1" applyFill="1" applyBorder="1"/>
    <xf numFmtId="11" fontId="0" fillId="0" borderId="43" xfId="0" applyNumberFormat="1" applyBorder="1"/>
    <xf numFmtId="11" fontId="0" fillId="0" borderId="49" xfId="0" applyNumberFormat="1" applyBorder="1"/>
    <xf numFmtId="0" fontId="5" fillId="8" borderId="53" xfId="0" applyFont="1" applyFill="1" applyBorder="1" applyAlignment="1">
      <alignment horizontal="right"/>
    </xf>
    <xf numFmtId="11" fontId="46" fillId="0" borderId="36" xfId="0" applyNumberFormat="1" applyFont="1" applyBorder="1"/>
    <xf numFmtId="0" fontId="4" fillId="0" borderId="0" xfId="0" applyFont="1" applyAlignment="1">
      <alignment horizontal="right"/>
    </xf>
    <xf numFmtId="0" fontId="0" fillId="13" borderId="4" xfId="0" applyFill="1" applyBorder="1" applyAlignment="1">
      <alignment horizontal="center" vertical="center"/>
    </xf>
    <xf numFmtId="0" fontId="0" fillId="14" borderId="4" xfId="0" applyFill="1" applyBorder="1" applyAlignment="1">
      <alignment horizontal="center" vertical="center"/>
    </xf>
    <xf numFmtId="0" fontId="5" fillId="10" borderId="4" xfId="0" applyFont="1" applyFill="1" applyBorder="1" applyAlignment="1">
      <alignment horizontal="center" vertical="center"/>
    </xf>
    <xf numFmtId="0" fontId="0" fillId="12" borderId="4" xfId="0" applyFill="1" applyBorder="1" applyAlignment="1">
      <alignment horizontal="center" vertical="center"/>
    </xf>
    <xf numFmtId="0" fontId="55" fillId="13" borderId="5" xfId="0" applyFont="1" applyFill="1" applyBorder="1" applyAlignment="1">
      <alignment horizontal="center" vertical="center" wrapText="1"/>
    </xf>
    <xf numFmtId="0" fontId="55" fillId="14" borderId="5" xfId="0" applyFont="1" applyFill="1" applyBorder="1" applyAlignment="1">
      <alignment horizontal="center" vertical="center" wrapText="1"/>
    </xf>
    <xf numFmtId="0" fontId="94" fillId="10" borderId="5" xfId="0" applyFont="1" applyFill="1" applyBorder="1" applyAlignment="1">
      <alignment horizontal="center" vertical="center" wrapText="1"/>
    </xf>
    <xf numFmtId="0" fontId="55" fillId="12" borderId="5" xfId="0" applyFont="1" applyFill="1" applyBorder="1" applyAlignment="1">
      <alignment horizontal="center" vertical="center" wrapText="1"/>
    </xf>
    <xf numFmtId="0" fontId="63" fillId="4" borderId="56" xfId="0" applyFont="1" applyFill="1" applyBorder="1" applyAlignment="1">
      <alignment horizontal="left" vertical="center"/>
    </xf>
    <xf numFmtId="0" fontId="0" fillId="4" borderId="57" xfId="0" applyFill="1" applyBorder="1" applyAlignment="1">
      <alignment vertical="center"/>
    </xf>
    <xf numFmtId="49" fontId="55" fillId="13" borderId="4" xfId="0" applyNumberFormat="1" applyFont="1" applyFill="1" applyBorder="1" applyAlignment="1">
      <alignment horizontal="center" vertical="center" wrapText="1"/>
    </xf>
    <xf numFmtId="49" fontId="55" fillId="14" borderId="4" xfId="0" applyNumberFormat="1" applyFont="1" applyFill="1" applyBorder="1" applyAlignment="1">
      <alignment horizontal="center" vertical="center" wrapText="1"/>
    </xf>
    <xf numFmtId="49" fontId="94" fillId="10" borderId="4" xfId="0" applyNumberFormat="1" applyFont="1" applyFill="1" applyBorder="1" applyAlignment="1">
      <alignment horizontal="center" vertical="center" wrapText="1"/>
    </xf>
    <xf numFmtId="49" fontId="55" fillId="12" borderId="4" xfId="0" applyNumberFormat="1" applyFont="1" applyFill="1" applyBorder="1" applyAlignment="1">
      <alignment horizontal="center" vertical="center" wrapText="1"/>
    </xf>
    <xf numFmtId="0" fontId="95" fillId="0" borderId="58" xfId="0" applyFont="1" applyBorder="1" applyAlignment="1">
      <alignment horizontal="center" vertical="center"/>
    </xf>
    <xf numFmtId="0" fontId="96" fillId="0" borderId="59" xfId="0" applyFont="1" applyBorder="1" applyAlignment="1">
      <alignment horizontal="right" vertical="center"/>
    </xf>
    <xf numFmtId="49" fontId="96" fillId="0" borderId="4" xfId="0" applyNumberFormat="1" applyFont="1" applyBorder="1" applyAlignment="1">
      <alignment horizontal="center" vertical="center"/>
    </xf>
    <xf numFmtId="0" fontId="96" fillId="0" borderId="4" xfId="0" applyFont="1" applyBorder="1" applyAlignment="1">
      <alignment horizontal="center"/>
    </xf>
    <xf numFmtId="0" fontId="52" fillId="0" borderId="0" xfId="0" applyFont="1" applyAlignment="1">
      <alignment horizontal="center"/>
    </xf>
    <xf numFmtId="0" fontId="61" fillId="0" borderId="4" xfId="0" applyFont="1" applyBorder="1" applyAlignment="1">
      <alignment horizontal="center" vertical="center" wrapText="1"/>
    </xf>
    <xf numFmtId="0" fontId="63" fillId="0" borderId="4" xfId="0" applyFont="1" applyBorder="1" applyAlignment="1">
      <alignment horizontal="center" vertical="center"/>
    </xf>
    <xf numFmtId="11" fontId="98" fillId="0" borderId="4" xfId="0" applyNumberFormat="1" applyFont="1" applyBorder="1" applyAlignment="1">
      <alignment horizontal="center" vertical="center"/>
    </xf>
    <xf numFmtId="11" fontId="76" fillId="0" borderId="4" xfId="0" applyNumberFormat="1" applyFont="1" applyBorder="1" applyAlignment="1">
      <alignment horizontal="center"/>
    </xf>
    <xf numFmtId="11" fontId="98" fillId="0" borderId="4" xfId="0" applyNumberFormat="1" applyFont="1" applyBorder="1" applyAlignment="1">
      <alignment horizontal="center"/>
    </xf>
    <xf numFmtId="11" fontId="3" fillId="0" borderId="4" xfId="0" applyNumberFormat="1" applyFont="1" applyBorder="1" applyAlignment="1">
      <alignment horizontal="center"/>
    </xf>
    <xf numFmtId="0" fontId="99" fillId="0" borderId="0" xfId="0" applyFont="1" applyAlignment="1">
      <alignment horizontal="left" vertical="center"/>
    </xf>
    <xf numFmtId="0" fontId="63" fillId="0" borderId="0" xfId="0" applyFont="1" applyAlignment="1">
      <alignment horizontal="left" vertical="center"/>
    </xf>
    <xf numFmtId="0" fontId="100" fillId="12" borderId="24" xfId="0" applyFont="1" applyFill="1" applyBorder="1" applyAlignment="1">
      <alignment horizontal="center" vertical="center" wrapText="1"/>
    </xf>
    <xf numFmtId="2" fontId="13" fillId="0" borderId="25" xfId="0" applyNumberFormat="1" applyFont="1" applyBorder="1" applyAlignment="1">
      <alignment horizontal="center" vertical="center" wrapText="1"/>
    </xf>
    <xf numFmtId="11" fontId="0" fillId="0" borderId="4" xfId="0" applyNumberFormat="1" applyBorder="1" applyAlignment="1">
      <alignment horizontal="center" vertical="center"/>
    </xf>
    <xf numFmtId="11" fontId="3" fillId="0" borderId="4" xfId="0" applyNumberFormat="1" applyFont="1" applyBorder="1" applyAlignment="1">
      <alignment horizontal="center" vertical="center"/>
    </xf>
    <xf numFmtId="0" fontId="101" fillId="0" borderId="0" xfId="0" applyFont="1" applyAlignment="1">
      <alignment horizontal="left" vertical="center" indent="1"/>
    </xf>
    <xf numFmtId="0" fontId="0" fillId="0" borderId="0" xfId="0" applyAlignment="1">
      <alignment horizontal="center" vertical="center"/>
    </xf>
    <xf numFmtId="0" fontId="2" fillId="13" borderId="24" xfId="0" applyFont="1" applyFill="1" applyBorder="1" applyAlignment="1">
      <alignment horizontal="center" vertical="center" wrapText="1"/>
    </xf>
    <xf numFmtId="11" fontId="0" fillId="0" borderId="4" xfId="0" applyNumberFormat="1" applyBorder="1" applyAlignment="1">
      <alignment horizontal="center"/>
    </xf>
    <xf numFmtId="0" fontId="2" fillId="10" borderId="24" xfId="0" applyFont="1" applyFill="1" applyBorder="1" applyAlignment="1">
      <alignment horizontal="center" vertical="center" wrapText="1"/>
    </xf>
    <xf numFmtId="0" fontId="2" fillId="9" borderId="24" xfId="0" applyFont="1" applyFill="1" applyBorder="1" applyAlignment="1">
      <alignment horizontal="center" vertical="center" wrapText="1"/>
    </xf>
    <xf numFmtId="49" fontId="62" fillId="0" borderId="25" xfId="0" applyNumberFormat="1" applyFont="1" applyBorder="1" applyAlignment="1">
      <alignment horizontal="center" vertical="center"/>
    </xf>
    <xf numFmtId="0" fontId="3" fillId="0" borderId="0" xfId="0" applyFont="1" applyAlignment="1">
      <alignment vertical="center"/>
    </xf>
    <xf numFmtId="0" fontId="2" fillId="15" borderId="24" xfId="0" applyFont="1" applyFill="1" applyBorder="1" applyAlignment="1">
      <alignment horizontal="center" vertical="center" wrapText="1"/>
    </xf>
    <xf numFmtId="2" fontId="102" fillId="9" borderId="25" xfId="0" applyNumberFormat="1" applyFont="1" applyFill="1" applyBorder="1" applyAlignment="1">
      <alignment horizontal="center" vertical="center"/>
    </xf>
    <xf numFmtId="2" fontId="2" fillId="9" borderId="25" xfId="0" applyNumberFormat="1" applyFont="1" applyFill="1" applyBorder="1" applyAlignment="1">
      <alignment horizontal="center" vertical="center"/>
    </xf>
    <xf numFmtId="2" fontId="62" fillId="10" borderId="25" xfId="0" applyNumberFormat="1" applyFont="1" applyFill="1" applyBorder="1" applyAlignment="1">
      <alignment horizontal="center" vertical="center"/>
    </xf>
    <xf numFmtId="2" fontId="62" fillId="12" borderId="25" xfId="0" applyNumberFormat="1" applyFont="1" applyFill="1" applyBorder="1" applyAlignment="1">
      <alignment horizontal="center" vertical="center"/>
    </xf>
    <xf numFmtId="0" fontId="96" fillId="0" borderId="4" xfId="0" applyFont="1" applyBorder="1" applyAlignment="1">
      <alignment horizontal="center" vertical="center" wrapText="1"/>
    </xf>
    <xf numFmtId="11" fontId="52" fillId="0" borderId="4" xfId="0" applyNumberFormat="1" applyFont="1" applyBorder="1" applyAlignment="1">
      <alignment horizontal="center"/>
    </xf>
    <xf numFmtId="0" fontId="63" fillId="0" borderId="60" xfId="0" applyFont="1" applyBorder="1" applyAlignment="1">
      <alignment horizontal="left" vertical="center"/>
    </xf>
    <xf numFmtId="0" fontId="63" fillId="0" borderId="61" xfId="0" applyFont="1" applyBorder="1" applyAlignment="1">
      <alignment horizontal="left" vertical="center"/>
    </xf>
    <xf numFmtId="0" fontId="0" fillId="14" borderId="62" xfId="0" applyFill="1" applyBorder="1"/>
    <xf numFmtId="0" fontId="0" fillId="14" borderId="63" xfId="0" applyFill="1" applyBorder="1"/>
    <xf numFmtId="0" fontId="0" fillId="10" borderId="56" xfId="0" applyFill="1" applyBorder="1"/>
    <xf numFmtId="0" fontId="0" fillId="10" borderId="57" xfId="0" applyFill="1" applyBorder="1"/>
    <xf numFmtId="0" fontId="0" fillId="12" borderId="62" xfId="0" applyFill="1" applyBorder="1"/>
    <xf numFmtId="0" fontId="0" fillId="12" borderId="63" xfId="0" applyFill="1" applyBorder="1"/>
    <xf numFmtId="0" fontId="59" fillId="7" borderId="64" xfId="0" applyFont="1" applyFill="1" applyBorder="1" applyAlignment="1">
      <alignment horizontal="center" vertical="center"/>
    </xf>
    <xf numFmtId="0" fontId="0" fillId="0" borderId="30" xfId="0" applyBorder="1" applyAlignment="1">
      <alignment horizontal="center" vertical="center" wrapText="1"/>
    </xf>
    <xf numFmtId="0" fontId="4" fillId="0" borderId="22" xfId="0" applyFont="1" applyBorder="1" applyAlignment="1">
      <alignment horizontal="center"/>
    </xf>
    <xf numFmtId="0" fontId="0" fillId="0" borderId="22" xfId="0" applyBorder="1" applyAlignment="1">
      <alignment horizontal="center"/>
    </xf>
    <xf numFmtId="0" fontId="4" fillId="0" borderId="0" xfId="0" applyFont="1" applyAlignment="1">
      <alignment horizontal="center"/>
    </xf>
    <xf numFmtId="0" fontId="0" fillId="0" borderId="0" xfId="0" applyAlignment="1">
      <alignment horizontal="center" vertical="center" wrapText="1"/>
    </xf>
    <xf numFmtId="0" fontId="0" fillId="0" borderId="0" xfId="0" applyAlignment="1">
      <alignment horizontal="left"/>
    </xf>
    <xf numFmtId="0" fontId="63" fillId="0" borderId="0" xfId="0" applyFont="1" applyAlignment="1">
      <alignment horizontal="center"/>
    </xf>
    <xf numFmtId="0" fontId="7" fillId="0" borderId="0" xfId="2" applyAlignment="1">
      <alignment horizontal="left"/>
    </xf>
    <xf numFmtId="0" fontId="59" fillId="7" borderId="0" xfId="0" applyFont="1" applyFill="1"/>
    <xf numFmtId="0" fontId="103" fillId="0" borderId="0" xfId="0" applyFont="1"/>
    <xf numFmtId="11" fontId="0" fillId="0" borderId="0" xfId="0" applyNumberFormat="1" applyAlignment="1">
      <alignment horizontal="left" vertical="center"/>
    </xf>
    <xf numFmtId="0" fontId="104" fillId="0" borderId="0" xfId="0" applyFont="1"/>
    <xf numFmtId="2" fontId="52" fillId="0" borderId="0" xfId="0" applyNumberFormat="1" applyFont="1" applyAlignment="1">
      <alignment horizontal="left" vertical="center"/>
    </xf>
    <xf numFmtId="2" fontId="52" fillId="0" borderId="0" xfId="0" applyNumberFormat="1" applyFont="1" applyAlignment="1">
      <alignment horizontal="center" vertical="center"/>
    </xf>
    <xf numFmtId="0" fontId="0" fillId="0" borderId="56" xfId="0" applyBorder="1"/>
    <xf numFmtId="0" fontId="0" fillId="0" borderId="57" xfId="0" applyBorder="1"/>
    <xf numFmtId="0" fontId="0" fillId="0" borderId="65" xfId="0" applyBorder="1"/>
    <xf numFmtId="0" fontId="0" fillId="0" borderId="55" xfId="0" applyBorder="1"/>
    <xf numFmtId="0" fontId="0" fillId="0" borderId="66" xfId="0" applyBorder="1"/>
    <xf numFmtId="0" fontId="0" fillId="0" borderId="59" xfId="0" applyBorder="1"/>
    <xf numFmtId="0" fontId="0" fillId="0" borderId="67" xfId="0" applyBorder="1"/>
    <xf numFmtId="0" fontId="0" fillId="0" borderId="68" xfId="0" applyBorder="1"/>
    <xf numFmtId="0" fontId="0" fillId="0" borderId="69" xfId="0" applyBorder="1"/>
    <xf numFmtId="11" fontId="5" fillId="12" borderId="43" xfId="0" applyNumberFormat="1" applyFont="1" applyFill="1" applyBorder="1" applyAlignment="1">
      <alignment horizontal="right"/>
    </xf>
    <xf numFmtId="0" fontId="69" fillId="16" borderId="37" xfId="0" applyFont="1" applyFill="1" applyBorder="1" applyAlignment="1">
      <alignment horizontal="center" vertical="center"/>
    </xf>
    <xf numFmtId="4" fontId="0" fillId="0" borderId="0" xfId="0" applyNumberFormat="1"/>
    <xf numFmtId="0" fontId="7" fillId="0" borderId="65" xfId="2" applyBorder="1"/>
    <xf numFmtId="164" fontId="33" fillId="6" borderId="0" xfId="0" applyNumberFormat="1" applyFont="1" applyFill="1" applyAlignment="1">
      <alignment horizontal="left" vertical="center"/>
    </xf>
    <xf numFmtId="0" fontId="32" fillId="6" borderId="0" xfId="0" applyFont="1" applyFill="1" applyAlignment="1">
      <alignment vertical="top"/>
    </xf>
    <xf numFmtId="0" fontId="32" fillId="6" borderId="0" xfId="0" applyFont="1" applyFill="1" applyAlignment="1">
      <alignment horizontal="center" vertical="top" wrapText="1"/>
    </xf>
    <xf numFmtId="0" fontId="106" fillId="4" borderId="4" xfId="0" applyFont="1" applyFill="1" applyBorder="1" applyAlignment="1">
      <alignment horizontal="center" vertical="top"/>
    </xf>
    <xf numFmtId="49" fontId="107" fillId="4" borderId="4" xfId="0" applyNumberFormat="1" applyFont="1" applyFill="1" applyBorder="1" applyAlignment="1">
      <alignment horizontal="center" vertical="center"/>
    </xf>
    <xf numFmtId="49" fontId="37" fillId="6" borderId="0" xfId="0" applyNumberFormat="1" applyFont="1" applyFill="1" applyAlignment="1">
      <alignment horizontal="center"/>
    </xf>
    <xf numFmtId="164" fontId="105" fillId="6" borderId="0" xfId="0" applyNumberFormat="1" applyFont="1" applyFill="1" applyAlignment="1">
      <alignment horizontal="left" vertical="center"/>
    </xf>
    <xf numFmtId="0" fontId="10" fillId="0" borderId="2" xfId="0" applyFont="1" applyBorder="1" applyAlignment="1">
      <alignment horizontal="left" vertical="center" wrapText="1" indent="1"/>
    </xf>
    <xf numFmtId="0" fontId="10" fillId="0" borderId="2" xfId="0" applyFont="1" applyBorder="1" applyAlignment="1">
      <alignment horizontal="left" vertical="center" wrapText="1"/>
    </xf>
    <xf numFmtId="0" fontId="6" fillId="0" borderId="0" xfId="0" applyFont="1" applyAlignment="1">
      <alignment wrapText="1"/>
    </xf>
    <xf numFmtId="0" fontId="10" fillId="0" borderId="3" xfId="0" applyFont="1" applyBorder="1" applyAlignment="1">
      <alignment vertical="center" wrapText="1"/>
    </xf>
    <xf numFmtId="0" fontId="9" fillId="0" borderId="3"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 xfId="0" applyFont="1" applyBorder="1" applyAlignment="1">
      <alignment horizontal="center" vertical="center" wrapText="1"/>
    </xf>
    <xf numFmtId="1" fontId="0" fillId="0" borderId="0" xfId="0" applyNumberFormat="1"/>
    <xf numFmtId="0" fontId="32" fillId="17" borderId="0" xfId="0" applyFont="1" applyFill="1" applyAlignment="1">
      <alignment vertical="top"/>
    </xf>
    <xf numFmtId="164" fontId="33" fillId="17" borderId="0" xfId="0" applyNumberFormat="1" applyFont="1" applyFill="1" applyAlignment="1">
      <alignment horizontal="center" vertical="center"/>
    </xf>
    <xf numFmtId="0" fontId="0" fillId="17" borderId="0" xfId="0" applyFill="1"/>
    <xf numFmtId="0" fontId="32" fillId="17" borderId="0" xfId="0" applyFont="1" applyFill="1" applyAlignment="1">
      <alignment horizontal="center" vertical="top" wrapText="1"/>
    </xf>
    <xf numFmtId="0" fontId="23" fillId="17" borderId="0" xfId="0" applyFont="1" applyFill="1" applyAlignment="1">
      <alignment horizontal="center" vertical="center"/>
    </xf>
    <xf numFmtId="0" fontId="32" fillId="17" borderId="0" xfId="0" applyFont="1" applyFill="1" applyAlignment="1">
      <alignment horizontal="center" vertical="top"/>
    </xf>
    <xf numFmtId="0" fontId="18" fillId="17" borderId="0" xfId="0" applyFont="1" applyFill="1" applyAlignment="1">
      <alignment horizontal="center" vertical="center"/>
    </xf>
    <xf numFmtId="0" fontId="18" fillId="17" borderId="0" xfId="0" applyFont="1" applyFill="1" applyAlignment="1">
      <alignment horizontal="center" vertical="center" wrapText="1"/>
    </xf>
    <xf numFmtId="0" fontId="0" fillId="17" borderId="0" xfId="0" applyFill="1" applyAlignment="1">
      <alignment horizontal="center"/>
    </xf>
    <xf numFmtId="0" fontId="37" fillId="17" borderId="0" xfId="0" applyFont="1" applyFill="1" applyAlignment="1">
      <alignment horizontal="right" vertical="top"/>
    </xf>
    <xf numFmtId="0" fontId="37" fillId="17" borderId="0" xfId="0" applyFont="1" applyFill="1" applyAlignment="1">
      <alignment horizontal="right" vertical="center"/>
    </xf>
    <xf numFmtId="11" fontId="38" fillId="17" borderId="0" xfId="0" applyNumberFormat="1" applyFont="1" applyFill="1" applyAlignment="1">
      <alignment horizontal="center" vertical="center"/>
    </xf>
    <xf numFmtId="0" fontId="39" fillId="17" borderId="0" xfId="0" applyFont="1" applyFill="1" applyAlignment="1">
      <alignment horizontal="right" vertical="top"/>
    </xf>
    <xf numFmtId="0" fontId="40" fillId="17" borderId="0" xfId="0" applyFont="1" applyFill="1" applyAlignment="1">
      <alignment horizontal="right"/>
    </xf>
    <xf numFmtId="11" fontId="37" fillId="17" borderId="0" xfId="0" applyNumberFormat="1" applyFont="1" applyFill="1" applyAlignment="1">
      <alignment horizontal="center"/>
    </xf>
    <xf numFmtId="0" fontId="41" fillId="17" borderId="0" xfId="0" applyFont="1" applyFill="1" applyAlignment="1">
      <alignment horizontal="right"/>
    </xf>
    <xf numFmtId="2" fontId="42" fillId="17" borderId="0" xfId="0" applyNumberFormat="1" applyFont="1" applyFill="1" applyAlignment="1">
      <alignment horizontal="center" vertical="center"/>
    </xf>
    <xf numFmtId="11" fontId="44" fillId="17" borderId="0" xfId="0" applyNumberFormat="1" applyFont="1" applyFill="1" applyAlignment="1">
      <alignment horizontal="left" vertical="center"/>
    </xf>
    <xf numFmtId="0" fontId="45" fillId="17" borderId="0" xfId="0" applyFont="1" applyFill="1"/>
    <xf numFmtId="0" fontId="45" fillId="17" borderId="0" xfId="0" applyFont="1" applyFill="1" applyAlignment="1">
      <alignment horizontal="right"/>
    </xf>
    <xf numFmtId="11" fontId="45" fillId="17" borderId="0" xfId="0" applyNumberFormat="1" applyFont="1" applyFill="1" applyAlignment="1">
      <alignment horizontal="center"/>
    </xf>
    <xf numFmtId="0" fontId="45" fillId="17" borderId="0" xfId="0" applyFont="1" applyFill="1" applyAlignment="1">
      <alignment horizontal="right" vertical="center"/>
    </xf>
    <xf numFmtId="0" fontId="39" fillId="17" borderId="0" xfId="0" applyFont="1" applyFill="1" applyAlignment="1">
      <alignment horizontal="right" vertical="center" wrapText="1"/>
    </xf>
    <xf numFmtId="0" fontId="46" fillId="17" borderId="0" xfId="0" applyFont="1" applyFill="1" applyAlignment="1">
      <alignment horizontal="center" vertical="center"/>
    </xf>
    <xf numFmtId="0" fontId="49" fillId="17" borderId="0" xfId="0" applyFont="1" applyFill="1" applyAlignment="1">
      <alignment horizontal="right"/>
    </xf>
    <xf numFmtId="164" fontId="32" fillId="4" borderId="0" xfId="0" applyNumberFormat="1" applyFont="1" applyFill="1" applyAlignment="1">
      <alignment horizontal="left" vertical="center"/>
    </xf>
    <xf numFmtId="164" fontId="108" fillId="4" borderId="0" xfId="0" applyNumberFormat="1" applyFont="1" applyFill="1" applyAlignment="1">
      <alignment horizontal="left" vertical="center"/>
    </xf>
    <xf numFmtId="49" fontId="0" fillId="0" borderId="0" xfId="0" applyNumberFormat="1"/>
    <xf numFmtId="164" fontId="109" fillId="4" borderId="0" xfId="0" applyNumberFormat="1" applyFont="1" applyFill="1" applyAlignment="1">
      <alignment horizontal="center" vertical="center"/>
    </xf>
    <xf numFmtId="0" fontId="107" fillId="17" borderId="4" xfId="0" applyFont="1" applyFill="1" applyBorder="1" applyAlignment="1">
      <alignment horizontal="center" vertical="center"/>
    </xf>
    <xf numFmtId="1" fontId="13" fillId="0" borderId="0" xfId="0" applyNumberFormat="1" applyFont="1"/>
    <xf numFmtId="1" fontId="3" fillId="0" borderId="0" xfId="0" applyNumberFormat="1" applyFont="1"/>
    <xf numFmtId="0" fontId="110" fillId="0" borderId="0" xfId="0" applyFont="1"/>
    <xf numFmtId="0" fontId="52" fillId="0" borderId="66" xfId="0" applyFont="1" applyBorder="1"/>
    <xf numFmtId="0" fontId="3" fillId="0" borderId="66" xfId="0" applyFont="1" applyBorder="1"/>
    <xf numFmtId="1" fontId="0" fillId="0" borderId="4" xfId="0" applyNumberFormat="1" applyBorder="1"/>
    <xf numFmtId="0" fontId="12" fillId="18" borderId="70" xfId="0" applyFont="1" applyFill="1" applyBorder="1" applyAlignment="1">
      <alignment vertical="center" wrapText="1"/>
    </xf>
    <xf numFmtId="0" fontId="12" fillId="18" borderId="71" xfId="0" applyFont="1" applyFill="1" applyBorder="1" applyAlignment="1">
      <alignment vertical="center" wrapText="1"/>
    </xf>
    <xf numFmtId="0" fontId="11" fillId="0" borderId="70" xfId="0" applyFont="1" applyBorder="1" applyAlignment="1">
      <alignment vertical="center" wrapText="1"/>
    </xf>
    <xf numFmtId="0" fontId="11" fillId="0" borderId="70" xfId="0" applyFont="1" applyBorder="1" applyAlignment="1">
      <alignment horizontal="right" vertical="center" wrapText="1"/>
    </xf>
    <xf numFmtId="0" fontId="112" fillId="0" borderId="0" xfId="0" applyFont="1"/>
    <xf numFmtId="2" fontId="113" fillId="0" borderId="0" xfId="0" applyNumberFormat="1" applyFont="1" applyAlignment="1">
      <alignment horizontal="center" vertical="center"/>
    </xf>
    <xf numFmtId="2" fontId="114" fillId="0" borderId="0" xfId="0" applyNumberFormat="1" applyFont="1" applyAlignment="1">
      <alignment horizontal="center" vertical="center" wrapText="1"/>
    </xf>
    <xf numFmtId="0" fontId="115" fillId="0" borderId="0" xfId="0" applyFont="1" applyAlignment="1">
      <alignment wrapText="1"/>
    </xf>
    <xf numFmtId="0" fontId="55" fillId="0" borderId="0" xfId="0" applyFont="1" applyAlignment="1">
      <alignment wrapText="1"/>
    </xf>
    <xf numFmtId="0" fontId="116" fillId="0" borderId="70" xfId="0" applyFont="1" applyBorder="1" applyAlignment="1">
      <alignment vertical="center" wrapText="1"/>
    </xf>
    <xf numFmtId="0" fontId="11" fillId="0" borderId="0" xfId="0" applyFont="1" applyAlignment="1">
      <alignment vertical="center" wrapText="1"/>
    </xf>
    <xf numFmtId="0" fontId="52" fillId="0" borderId="4" xfId="0" applyFont="1" applyBorder="1"/>
    <xf numFmtId="0" fontId="0" fillId="0" borderId="0" xfId="0" applyAlignment="1">
      <alignment wrapText="1"/>
    </xf>
    <xf numFmtId="0" fontId="0" fillId="0" borderId="0" xfId="0" applyAlignment="1">
      <alignment vertical="top"/>
    </xf>
    <xf numFmtId="0" fontId="0" fillId="0" borderId="0" xfId="0" applyAlignment="1">
      <alignment horizontal="left" wrapText="1"/>
    </xf>
    <xf numFmtId="0" fontId="0" fillId="0" borderId="0" xfId="0" applyAlignment="1">
      <alignment vertical="center" wrapText="1"/>
    </xf>
    <xf numFmtId="0" fontId="0" fillId="19" borderId="4" xfId="0" applyFill="1" applyBorder="1"/>
    <xf numFmtId="0" fontId="7" fillId="0" borderId="0" xfId="2"/>
    <xf numFmtId="0" fontId="0" fillId="19" borderId="4" xfId="0" applyFill="1" applyBorder="1" applyAlignment="1">
      <alignment wrapText="1"/>
    </xf>
    <xf numFmtId="0" fontId="0" fillId="0" borderId="0" xfId="0" applyAlignment="1">
      <alignment horizontal="left" vertical="center" wrapText="1"/>
    </xf>
    <xf numFmtId="2" fontId="0" fillId="0" borderId="0" xfId="0" applyNumberFormat="1" applyAlignment="1">
      <alignment horizontal="left"/>
    </xf>
    <xf numFmtId="2" fontId="5" fillId="0" borderId="0" xfId="0" applyNumberFormat="1" applyFont="1" applyAlignment="1">
      <alignment horizontal="left"/>
    </xf>
    <xf numFmtId="1" fontId="0" fillId="0" borderId="0" xfId="0" applyNumberFormat="1" applyAlignment="1">
      <alignment horizontal="left"/>
    </xf>
    <xf numFmtId="1" fontId="5" fillId="0" borderId="0" xfId="0" applyNumberFormat="1" applyFont="1" applyAlignment="1">
      <alignment horizontal="left"/>
    </xf>
    <xf numFmtId="1" fontId="5" fillId="0" borderId="0" xfId="0" applyNumberFormat="1" applyFont="1"/>
    <xf numFmtId="0" fontId="5" fillId="0" borderId="0" xfId="0" applyFont="1"/>
    <xf numFmtId="0" fontId="5" fillId="0" borderId="0" xfId="0" applyFont="1" applyAlignment="1">
      <alignment horizontal="left"/>
    </xf>
    <xf numFmtId="0" fontId="0" fillId="0" borderId="0" xfId="0" quotePrefix="1" applyAlignment="1">
      <alignment horizontal="center"/>
    </xf>
    <xf numFmtId="0" fontId="5" fillId="0" borderId="0" xfId="0" applyFont="1" applyAlignment="1">
      <alignment vertical="top"/>
    </xf>
    <xf numFmtId="0" fontId="5" fillId="0" borderId="0" xfId="0" applyFont="1" applyAlignment="1">
      <alignment vertical="top" wrapText="1"/>
    </xf>
    <xf numFmtId="0" fontId="5" fillId="0" borderId="0" xfId="0" applyFont="1" applyAlignment="1">
      <alignment horizontal="center" vertical="top"/>
    </xf>
    <xf numFmtId="0" fontId="5" fillId="0" borderId="0" xfId="0" applyFont="1" applyAlignment="1">
      <alignment horizontal="center" vertical="top" wrapText="1"/>
    </xf>
    <xf numFmtId="0" fontId="0" fillId="19" borderId="4" xfId="0" applyFill="1" applyBorder="1" applyAlignment="1">
      <alignment horizontal="left" vertical="top" wrapText="1"/>
    </xf>
    <xf numFmtId="2" fontId="62" fillId="0" borderId="6" xfId="0" applyNumberFormat="1" applyFont="1" applyBorder="1" applyAlignment="1">
      <alignment horizontal="center" vertical="center" wrapText="1"/>
    </xf>
    <xf numFmtId="0" fontId="5" fillId="0" borderId="50" xfId="0" applyFont="1" applyBorder="1" applyAlignment="1">
      <alignment horizontal="right"/>
    </xf>
    <xf numFmtId="2" fontId="62" fillId="2" borderId="25" xfId="0" applyNumberFormat="1" applyFont="1" applyFill="1" applyBorder="1" applyAlignment="1">
      <alignment horizontal="center" vertical="center"/>
    </xf>
    <xf numFmtId="11" fontId="0" fillId="2" borderId="0" xfId="0" applyNumberFormat="1" applyFill="1" applyAlignment="1">
      <alignment horizontal="center" vertical="center"/>
    </xf>
    <xf numFmtId="11" fontId="0" fillId="2" borderId="0" xfId="0" applyNumberFormat="1" applyFill="1" applyAlignment="1">
      <alignment vertical="center"/>
    </xf>
    <xf numFmtId="0" fontId="0" fillId="14" borderId="0" xfId="0" applyFill="1"/>
    <xf numFmtId="0" fontId="63" fillId="0" borderId="0" xfId="0" applyFont="1" applyAlignment="1">
      <alignment wrapText="1"/>
    </xf>
    <xf numFmtId="0" fontId="16" fillId="0" borderId="0" xfId="0" applyFont="1" applyAlignment="1">
      <alignment horizontal="center" vertical="center"/>
    </xf>
    <xf numFmtId="0" fontId="0" fillId="19" borderId="7" xfId="0" applyFill="1" applyBorder="1"/>
    <xf numFmtId="0" fontId="0" fillId="19" borderId="4" xfId="0" applyFill="1" applyBorder="1" applyAlignment="1">
      <alignment horizontal="center" vertical="center"/>
    </xf>
    <xf numFmtId="9" fontId="0" fillId="19" borderId="4" xfId="1" applyFont="1" applyFill="1" applyBorder="1" applyAlignment="1">
      <alignment horizontal="center" vertical="center"/>
    </xf>
    <xf numFmtId="9" fontId="16" fillId="4" borderId="0" xfId="0" applyNumberFormat="1" applyFont="1" applyFill="1" applyAlignment="1">
      <alignment horizontal="center" vertical="center"/>
    </xf>
    <xf numFmtId="0" fontId="19" fillId="3" borderId="0" xfId="0" applyFont="1" applyFill="1" applyAlignment="1">
      <alignment horizontal="center" vertical="center"/>
    </xf>
    <xf numFmtId="0" fontId="17" fillId="3" borderId="0" xfId="0" applyFont="1" applyFill="1" applyAlignment="1">
      <alignment horizontal="right"/>
    </xf>
    <xf numFmtId="0" fontId="16" fillId="3" borderId="0" xfId="0" applyFont="1" applyFill="1" applyAlignment="1">
      <alignment horizontal="center"/>
    </xf>
    <xf numFmtId="0" fontId="16" fillId="3" borderId="0" xfId="0" applyFont="1" applyFill="1"/>
    <xf numFmtId="0" fontId="0" fillId="0" borderId="0" xfId="1" applyNumberFormat="1" applyFont="1" applyFill="1" applyBorder="1" applyAlignment="1">
      <alignment horizontal="center" vertical="center"/>
    </xf>
    <xf numFmtId="0" fontId="5" fillId="0" borderId="57" xfId="1" applyNumberFormat="1" applyFont="1" applyFill="1" applyBorder="1" applyAlignment="1">
      <alignment horizontal="center" vertical="center"/>
    </xf>
    <xf numFmtId="11" fontId="0" fillId="6" borderId="0" xfId="0" applyNumberFormat="1" applyFill="1"/>
    <xf numFmtId="11" fontId="13" fillId="0" borderId="0" xfId="0" applyNumberFormat="1" applyFont="1"/>
    <xf numFmtId="0" fontId="0" fillId="0" borderId="0" xfId="0" applyAlignment="1">
      <alignment horizontal="left" vertical="top" wrapText="1"/>
    </xf>
    <xf numFmtId="0" fontId="0" fillId="19" borderId="4" xfId="0" applyFill="1" applyBorder="1" applyAlignment="1">
      <alignment horizontal="center" vertical="center"/>
    </xf>
    <xf numFmtId="0" fontId="0" fillId="0" borderId="66" xfId="0" applyBorder="1" applyAlignment="1">
      <alignment horizontal="center"/>
    </xf>
    <xf numFmtId="0" fontId="0" fillId="0" borderId="0" xfId="0" applyAlignment="1">
      <alignment horizontal="center"/>
    </xf>
    <xf numFmtId="0" fontId="0" fillId="0" borderId="0" xfId="0" applyAlignment="1">
      <alignment horizontal="left"/>
    </xf>
    <xf numFmtId="9" fontId="0" fillId="19" borderId="67" xfId="1" applyFont="1" applyFill="1" applyBorder="1" applyAlignment="1">
      <alignment horizontal="center" vertical="center"/>
    </xf>
    <xf numFmtId="9" fontId="0" fillId="19" borderId="69" xfId="1" applyFont="1" applyFill="1" applyBorder="1" applyAlignment="1">
      <alignment horizontal="center" vertical="center"/>
    </xf>
    <xf numFmtId="9" fontId="0" fillId="19" borderId="68" xfId="1" applyFont="1" applyFill="1" applyBorder="1" applyAlignment="1">
      <alignment horizontal="center" vertical="center"/>
    </xf>
    <xf numFmtId="0" fontId="5" fillId="0" borderId="57" xfId="1" applyNumberFormat="1" applyFont="1" applyFill="1" applyBorder="1" applyAlignment="1">
      <alignment horizontal="center" vertical="center"/>
    </xf>
    <xf numFmtId="0" fontId="0" fillId="0" borderId="0" xfId="1" applyNumberFormat="1" applyFont="1" applyFill="1" applyBorder="1" applyAlignment="1">
      <alignment horizontal="center" vertical="center"/>
    </xf>
    <xf numFmtId="0" fontId="4" fillId="0" borderId="0" xfId="0" applyFont="1" applyAlignment="1">
      <alignment horizontal="left"/>
    </xf>
    <xf numFmtId="0" fontId="0" fillId="19" borderId="4" xfId="0" applyFill="1" applyBorder="1" applyAlignment="1">
      <alignment horizontal="center"/>
    </xf>
    <xf numFmtId="0" fontId="0" fillId="0" borderId="0" xfId="0" applyAlignment="1">
      <alignment horizontal="center" vertical="center" wrapText="1"/>
    </xf>
    <xf numFmtId="0" fontId="0" fillId="19" borderId="67" xfId="0" applyFill="1" applyBorder="1" applyAlignment="1">
      <alignment horizontal="center" vertical="center" wrapText="1"/>
    </xf>
    <xf numFmtId="0" fontId="0" fillId="19" borderId="69" xfId="0" applyFill="1" applyBorder="1" applyAlignment="1">
      <alignment horizontal="center" vertical="center" wrapText="1"/>
    </xf>
    <xf numFmtId="0" fontId="4" fillId="0" borderId="0" xfId="0" applyFont="1" applyAlignment="1">
      <alignment horizontal="left" vertical="top" wrapText="1"/>
    </xf>
    <xf numFmtId="0" fontId="0" fillId="19" borderId="4" xfId="0" applyFill="1" applyBorder="1" applyAlignment="1">
      <alignment horizontal="center" vertical="center" wrapText="1"/>
    </xf>
    <xf numFmtId="0" fontId="0" fillId="0" borderId="0" xfId="0" applyAlignment="1">
      <alignment horizontal="center" wrapText="1"/>
    </xf>
    <xf numFmtId="0" fontId="63" fillId="0" borderId="0" xfId="0" applyFont="1" applyAlignment="1">
      <alignment horizontal="center" vertical="center" wrapText="1"/>
    </xf>
    <xf numFmtId="0" fontId="0" fillId="19" borderId="4" xfId="0" applyFill="1" applyBorder="1" applyAlignment="1">
      <alignment horizontal="left" wrapText="1"/>
    </xf>
    <xf numFmtId="0" fontId="0" fillId="0" borderId="0" xfId="0" applyAlignment="1">
      <alignment horizontal="right" vertical="center" textRotation="90"/>
    </xf>
    <xf numFmtId="0" fontId="0" fillId="0" borderId="0" xfId="0" applyAlignment="1">
      <alignment horizontal="center" vertical="center"/>
    </xf>
    <xf numFmtId="0" fontId="4" fillId="0" borderId="0" xfId="0" applyFont="1" applyAlignment="1">
      <alignment horizontal="center" vertical="top" wrapText="1"/>
    </xf>
    <xf numFmtId="0" fontId="0" fillId="0" borderId="5" xfId="0" applyBorder="1" applyAlignment="1">
      <alignment horizontal="center" textRotation="90"/>
    </xf>
    <xf numFmtId="0" fontId="0" fillId="0" borderId="6" xfId="0" applyBorder="1" applyAlignment="1">
      <alignment horizontal="center" textRotation="90"/>
    </xf>
    <xf numFmtId="0" fontId="0" fillId="0" borderId="7" xfId="0" applyBorder="1" applyAlignment="1">
      <alignment horizontal="center" textRotation="90"/>
    </xf>
    <xf numFmtId="0" fontId="0" fillId="0" borderId="0" xfId="0" applyAlignment="1">
      <alignment horizontal="center" textRotation="90"/>
    </xf>
    <xf numFmtId="0" fontId="0" fillId="0" borderId="0" xfId="0" applyAlignment="1">
      <alignment horizontal="right" vertical="center"/>
    </xf>
    <xf numFmtId="0" fontId="6" fillId="0" borderId="0" xfId="0" applyFont="1" applyAlignment="1">
      <alignment horizontal="center" vertical="center" wrapText="1"/>
    </xf>
    <xf numFmtId="0" fontId="9" fillId="0" borderId="3" xfId="0" applyFont="1" applyBorder="1" applyAlignment="1">
      <alignment horizontal="center" vertical="center" wrapText="1"/>
    </xf>
    <xf numFmtId="0" fontId="9" fillId="0" borderId="1" xfId="0" applyFont="1" applyBorder="1" applyAlignment="1">
      <alignment horizontal="center" vertical="center" wrapText="1"/>
    </xf>
    <xf numFmtId="0" fontId="9" fillId="0" borderId="3" xfId="0" applyFont="1" applyBorder="1" applyAlignment="1">
      <alignment horizontal="justify" vertical="center" wrapText="1"/>
    </xf>
    <xf numFmtId="0" fontId="9" fillId="0" borderId="1" xfId="0" applyFont="1" applyBorder="1" applyAlignment="1">
      <alignment horizontal="justify" vertical="center" wrapText="1"/>
    </xf>
    <xf numFmtId="0" fontId="32" fillId="4" borderId="0" xfId="0" applyFont="1" applyFill="1" applyAlignment="1">
      <alignment horizontal="center" vertical="top"/>
    </xf>
    <xf numFmtId="0" fontId="0" fillId="4" borderId="15" xfId="0" applyFill="1" applyBorder="1" applyAlignment="1">
      <alignment horizontal="left" wrapText="1"/>
    </xf>
    <xf numFmtId="0" fontId="0" fillId="4" borderId="0" xfId="0" applyFill="1" applyAlignment="1">
      <alignment horizontal="left" wrapText="1"/>
    </xf>
    <xf numFmtId="0" fontId="54" fillId="4" borderId="0" xfId="0" applyFont="1" applyFill="1" applyAlignment="1">
      <alignment horizontal="center" vertical="center" wrapText="1"/>
    </xf>
    <xf numFmtId="0" fontId="0" fillId="4" borderId="0" xfId="0" applyFill="1" applyAlignment="1">
      <alignment horizontal="center" vertical="center"/>
    </xf>
    <xf numFmtId="0" fontId="0" fillId="4" borderId="17" xfId="0" applyFill="1" applyBorder="1" applyAlignment="1">
      <alignment horizontal="center" vertical="center"/>
    </xf>
    <xf numFmtId="0" fontId="0" fillId="4" borderId="18" xfId="0" applyFill="1" applyBorder="1" applyAlignment="1">
      <alignment horizontal="center" vertical="center"/>
    </xf>
    <xf numFmtId="0" fontId="52" fillId="4" borderId="19" xfId="0" applyFont="1" applyFill="1" applyBorder="1" applyAlignment="1">
      <alignment horizontal="left" vertical="center" wrapText="1"/>
    </xf>
    <xf numFmtId="0" fontId="52" fillId="4" borderId="20" xfId="0" applyFont="1" applyFill="1" applyBorder="1" applyAlignment="1">
      <alignment horizontal="left" vertical="center" wrapText="1"/>
    </xf>
    <xf numFmtId="0" fontId="52" fillId="4" borderId="15" xfId="0" applyFont="1" applyFill="1" applyBorder="1" applyAlignment="1">
      <alignment horizontal="left" vertical="center" wrapText="1"/>
    </xf>
    <xf numFmtId="0" fontId="52" fillId="4" borderId="0" xfId="0" applyFont="1" applyFill="1" applyAlignment="1">
      <alignment horizontal="left" vertical="center" wrapText="1"/>
    </xf>
    <xf numFmtId="0" fontId="0" fillId="4" borderId="0" xfId="0" applyFill="1" applyAlignment="1">
      <alignment horizontal="center" vertical="center" wrapText="1"/>
    </xf>
    <xf numFmtId="0" fontId="32" fillId="6" borderId="0" xfId="0" applyFont="1" applyFill="1" applyAlignment="1">
      <alignment horizontal="left" vertical="top"/>
    </xf>
    <xf numFmtId="11" fontId="46" fillId="6" borderId="0" xfId="0" applyNumberFormat="1" applyFont="1" applyFill="1" applyAlignment="1">
      <alignment horizontal="center" vertical="center"/>
    </xf>
    <xf numFmtId="0" fontId="46" fillId="6" borderId="0" xfId="0" applyFont="1" applyFill="1" applyAlignment="1">
      <alignment horizontal="center" vertical="center"/>
    </xf>
    <xf numFmtId="0" fontId="14" fillId="3" borderId="0" xfId="0" applyFont="1" applyFill="1" applyAlignment="1">
      <alignment horizontal="center" vertical="center"/>
    </xf>
    <xf numFmtId="0" fontId="17" fillId="5" borderId="0" xfId="0" applyFont="1" applyFill="1" applyAlignment="1">
      <alignment horizontal="right" vertical="center"/>
    </xf>
    <xf numFmtId="0" fontId="14" fillId="3" borderId="0" xfId="0" applyFont="1" applyFill="1" applyAlignment="1">
      <alignment horizontal="center" vertical="center" wrapText="1"/>
    </xf>
    <xf numFmtId="0" fontId="28" fillId="5" borderId="0" xfId="0" applyFont="1" applyFill="1" applyAlignment="1">
      <alignment horizontal="center" vertical="top"/>
    </xf>
    <xf numFmtId="0" fontId="19" fillId="5" borderId="0" xfId="0" applyFont="1" applyFill="1" applyAlignment="1">
      <alignment horizontal="center" vertical="center"/>
    </xf>
    <xf numFmtId="164" fontId="21" fillId="4" borderId="0" xfId="0" applyNumberFormat="1" applyFont="1" applyFill="1" applyAlignment="1">
      <alignment horizontal="center" vertical="center"/>
    </xf>
    <xf numFmtId="0" fontId="17" fillId="5" borderId="0" xfId="0" applyFont="1" applyFill="1" applyAlignment="1">
      <alignment horizontal="right" wrapText="1"/>
    </xf>
    <xf numFmtId="0" fontId="17" fillId="3" borderId="0" xfId="0" applyFont="1" applyFill="1" applyAlignment="1">
      <alignment horizontal="right"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164" fontId="30" fillId="5" borderId="0" xfId="0" applyNumberFormat="1" applyFont="1" applyFill="1" applyAlignment="1">
      <alignment horizontal="center" vertical="center"/>
    </xf>
    <xf numFmtId="11" fontId="46" fillId="17" borderId="0" xfId="0" applyNumberFormat="1" applyFont="1" applyFill="1" applyAlignment="1">
      <alignment horizontal="center" vertical="center"/>
    </xf>
    <xf numFmtId="0" fontId="46" fillId="17" borderId="0" xfId="0" applyFont="1" applyFill="1" applyAlignment="1">
      <alignment horizontal="center" vertical="center"/>
    </xf>
    <xf numFmtId="0" fontId="66" fillId="0" borderId="0" xfId="0" applyFont="1" applyAlignment="1">
      <alignment horizontal="center" vertical="center" textRotation="90"/>
    </xf>
    <xf numFmtId="0" fontId="61" fillId="0" borderId="0" xfId="0" applyFont="1" applyAlignment="1">
      <alignment horizontal="center" vertical="center" wrapText="1"/>
    </xf>
    <xf numFmtId="0" fontId="3" fillId="0" borderId="0" xfId="0" applyFont="1" applyAlignment="1">
      <alignment horizontal="center" wrapText="1"/>
    </xf>
    <xf numFmtId="0" fontId="65" fillId="0" borderId="0" xfId="0" applyFont="1" applyAlignment="1">
      <alignment horizontal="center" vertical="center" wrapText="1"/>
    </xf>
    <xf numFmtId="0" fontId="88" fillId="7" borderId="0" xfId="0" applyFont="1" applyFill="1" applyAlignment="1">
      <alignment horizontal="center" vertical="center"/>
    </xf>
    <xf numFmtId="0" fontId="86" fillId="8" borderId="0" xfId="0" applyFont="1" applyFill="1" applyAlignment="1">
      <alignment horizontal="center" vertical="center" wrapText="1"/>
    </xf>
    <xf numFmtId="0" fontId="86" fillId="12" borderId="0" xfId="0" applyFont="1" applyFill="1" applyAlignment="1">
      <alignment horizontal="center" vertical="center" wrapText="1"/>
    </xf>
    <xf numFmtId="0" fontId="76" fillId="11" borderId="33" xfId="0" applyFont="1" applyFill="1" applyBorder="1" applyAlignment="1">
      <alignment horizontal="center" vertical="center"/>
    </xf>
    <xf numFmtId="0" fontId="76" fillId="8" borderId="33" xfId="0" applyFont="1" applyFill="1" applyBorder="1" applyAlignment="1">
      <alignment horizontal="center" vertical="center" wrapText="1"/>
    </xf>
    <xf numFmtId="0" fontId="78" fillId="8" borderId="35" xfId="0" applyFont="1" applyFill="1" applyBorder="1" applyAlignment="1">
      <alignment horizontal="center" vertical="center" wrapText="1"/>
    </xf>
    <xf numFmtId="0" fontId="5" fillId="12" borderId="0" xfId="0" applyFont="1" applyFill="1" applyAlignment="1">
      <alignment horizontal="center" vertical="center" wrapText="1"/>
    </xf>
    <xf numFmtId="0" fontId="5" fillId="9" borderId="16" xfId="0" applyFont="1" applyFill="1" applyBorder="1" applyAlignment="1">
      <alignment horizontal="center" wrapText="1"/>
    </xf>
    <xf numFmtId="0" fontId="84" fillId="10" borderId="16" xfId="0" applyFont="1" applyFill="1" applyBorder="1" applyAlignment="1">
      <alignment horizontal="center" vertical="center" wrapText="1"/>
    </xf>
    <xf numFmtId="0" fontId="70" fillId="8" borderId="27" xfId="0" applyFont="1" applyFill="1" applyBorder="1" applyAlignment="1">
      <alignment horizontal="center"/>
    </xf>
    <xf numFmtId="0" fontId="70" fillId="8" borderId="28" xfId="0" applyFont="1" applyFill="1" applyBorder="1" applyAlignment="1">
      <alignment horizontal="center"/>
    </xf>
    <xf numFmtId="0" fontId="70" fillId="9" borderId="29" xfId="0" applyFont="1" applyFill="1" applyBorder="1" applyAlignment="1">
      <alignment horizontal="center" vertical="center"/>
    </xf>
    <xf numFmtId="0" fontId="70" fillId="9" borderId="30" xfId="0" applyFont="1" applyFill="1" applyBorder="1" applyAlignment="1">
      <alignment horizontal="center" vertical="center"/>
    </xf>
    <xf numFmtId="0" fontId="70" fillId="9" borderId="31" xfId="0" applyFont="1" applyFill="1" applyBorder="1" applyAlignment="1">
      <alignment horizontal="center" vertical="center"/>
    </xf>
    <xf numFmtId="0" fontId="70" fillId="10" borderId="29" xfId="0" applyFont="1" applyFill="1" applyBorder="1" applyAlignment="1">
      <alignment horizontal="center" vertical="center"/>
    </xf>
    <xf numFmtId="0" fontId="70" fillId="10" borderId="30" xfId="0" applyFont="1" applyFill="1" applyBorder="1" applyAlignment="1">
      <alignment horizontal="center" vertical="center"/>
    </xf>
    <xf numFmtId="0" fontId="70" fillId="10" borderId="31" xfId="0" applyFont="1" applyFill="1" applyBorder="1" applyAlignment="1">
      <alignment horizontal="center" vertical="center"/>
    </xf>
    <xf numFmtId="0" fontId="71" fillId="0" borderId="32" xfId="0" applyFont="1" applyBorder="1" applyAlignment="1">
      <alignment horizontal="center" vertical="center"/>
    </xf>
    <xf numFmtId="0" fontId="71" fillId="0" borderId="0" xfId="0" applyFont="1" applyAlignment="1">
      <alignment horizontal="center" vertical="center"/>
    </xf>
    <xf numFmtId="0" fontId="71" fillId="0" borderId="33" xfId="0" applyFont="1" applyBorder="1" applyAlignment="1">
      <alignment horizontal="center" vertical="center"/>
    </xf>
    <xf numFmtId="0" fontId="71" fillId="0" borderId="34"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5" xfId="0" applyFont="1" applyBorder="1" applyAlignment="1">
      <alignment horizontal="center" vertical="center" wrapText="1"/>
    </xf>
    <xf numFmtId="0" fontId="71" fillId="0" borderId="0" xfId="0" applyFont="1" applyAlignment="1">
      <alignment horizontal="center" vertical="center" wrapText="1"/>
    </xf>
    <xf numFmtId="0" fontId="4" fillId="7" borderId="0" xfId="0" applyFont="1" applyFill="1" applyAlignment="1">
      <alignment horizontal="center" vertical="center" wrapText="1"/>
    </xf>
    <xf numFmtId="0" fontId="4" fillId="7" borderId="55" xfId="0" applyFont="1" applyFill="1" applyBorder="1" applyAlignment="1">
      <alignment horizontal="center" vertical="center" wrapText="1"/>
    </xf>
    <xf numFmtId="0" fontId="0" fillId="2" borderId="0" xfId="0" applyFill="1" applyAlignment="1">
      <alignment horizontal="center" vertical="center" wrapText="1"/>
    </xf>
    <xf numFmtId="0" fontId="4" fillId="0" borderId="0" xfId="0" applyFont="1" applyAlignment="1">
      <alignment horizontal="right"/>
    </xf>
    <xf numFmtId="0" fontId="0" fillId="0" borderId="0" xfId="0" applyAlignment="1">
      <alignment horizontal="right"/>
    </xf>
    <xf numFmtId="165" fontId="4" fillId="0" borderId="0" xfId="0" applyNumberFormat="1" applyFont="1" applyAlignment="1">
      <alignment horizontal="right" vertical="center"/>
    </xf>
    <xf numFmtId="0" fontId="0" fillId="0" borderId="0" xfId="0" applyFont="1"/>
    <xf numFmtId="0" fontId="0" fillId="0" borderId="0" xfId="0" applyFont="1" applyAlignment="1">
      <alignment horizontal="left"/>
    </xf>
  </cellXfs>
  <cellStyles count="3">
    <cellStyle name="Hyperlink" xfId="2" builtinId="8"/>
    <cellStyle name="Normal" xfId="0" builtinId="0"/>
    <cellStyle name="Percent" xfId="1" builtinId="5"/>
  </cellStyles>
  <dxfs count="180">
    <dxf>
      <font>
        <b/>
        <i val="0"/>
        <color rgb="FFCCFF99"/>
      </font>
      <fill>
        <patternFill patternType="none">
          <bgColor auto="1"/>
        </patternFill>
      </fill>
    </dxf>
    <dxf>
      <font>
        <b/>
        <i val="0"/>
        <color rgb="FFFF0000"/>
      </font>
      <fill>
        <patternFill patternType="none">
          <bgColor auto="1"/>
        </patternFill>
      </fill>
    </dxf>
    <dxf>
      <font>
        <b/>
        <i val="0"/>
        <color rgb="FFFF3300"/>
      </font>
      <fill>
        <patternFill patternType="none">
          <bgColor auto="1"/>
        </patternFill>
      </fill>
    </dxf>
    <dxf>
      <font>
        <b/>
        <i val="0"/>
        <color rgb="FFFF6600"/>
      </font>
      <fill>
        <patternFill patternType="none">
          <bgColor auto="1"/>
        </patternFill>
      </fill>
    </dxf>
    <dxf>
      <font>
        <b/>
        <i val="0"/>
        <color theme="7"/>
      </font>
      <fill>
        <patternFill patternType="none">
          <bgColor auto="1"/>
        </patternFill>
      </fill>
    </dxf>
    <dxf>
      <font>
        <b/>
        <i val="0"/>
        <color theme="7" tint="0.59996337778862885"/>
      </font>
      <fill>
        <patternFill patternType="none">
          <bgColor auto="1"/>
        </patternFill>
      </fill>
    </dxf>
    <dxf>
      <font>
        <b/>
        <i val="0"/>
        <color rgb="FF92D050"/>
      </font>
      <fill>
        <patternFill patternType="none">
          <bgColor auto="1"/>
        </patternFill>
      </fill>
    </dxf>
    <dxf>
      <font>
        <b/>
        <i val="0"/>
        <color rgb="FF00B050"/>
      </font>
      <fill>
        <patternFill patternType="none">
          <bgColor auto="1"/>
        </patternFill>
      </fill>
    </dxf>
    <dxf>
      <font>
        <b/>
        <i val="0"/>
        <color rgb="FFFFCC66"/>
      </font>
      <fill>
        <patternFill patternType="none">
          <bgColor auto="1"/>
        </patternFill>
      </fill>
    </dxf>
    <dxf>
      <font>
        <b/>
        <i val="0"/>
        <color rgb="FFC00000"/>
      </font>
      <fill>
        <patternFill patternType="none">
          <bgColor auto="1"/>
        </patternFill>
      </fill>
    </dxf>
    <dxf>
      <font>
        <b/>
        <i val="0"/>
        <color rgb="FFFF3300"/>
      </font>
      <fill>
        <patternFill patternType="none">
          <bgColor auto="1"/>
        </patternFill>
      </fill>
    </dxf>
    <dxf>
      <font>
        <b/>
        <i val="0"/>
        <color rgb="FFC00000"/>
      </font>
      <fill>
        <patternFill patternType="none">
          <bgColor auto="1"/>
        </patternFill>
      </fill>
    </dxf>
    <dxf>
      <font>
        <b/>
        <i val="0"/>
        <color rgb="FFFF0000"/>
      </font>
      <fill>
        <patternFill patternType="none">
          <bgColor auto="1"/>
        </patternFill>
      </fill>
    </dxf>
    <dxf>
      <font>
        <b/>
        <i val="0"/>
        <color rgb="FFFFCC66"/>
      </font>
      <fill>
        <patternFill patternType="none">
          <bgColor auto="1"/>
        </patternFill>
      </fill>
    </dxf>
    <dxf>
      <font>
        <b/>
        <i val="0"/>
        <color rgb="FFFF6600"/>
      </font>
      <fill>
        <patternFill patternType="none">
          <bgColor auto="1"/>
        </patternFill>
      </fill>
    </dxf>
    <dxf>
      <font>
        <b/>
        <i val="0"/>
        <color theme="7"/>
      </font>
      <fill>
        <patternFill patternType="none">
          <bgColor auto="1"/>
        </patternFill>
      </fill>
    </dxf>
    <dxf>
      <font>
        <b/>
        <i val="0"/>
        <color theme="7" tint="0.59996337778862885"/>
      </font>
      <fill>
        <patternFill patternType="none">
          <bgColor auto="1"/>
        </patternFill>
      </fill>
    </dxf>
    <dxf>
      <font>
        <b/>
        <i val="0"/>
        <color rgb="FFCCFF99"/>
      </font>
      <fill>
        <patternFill patternType="none">
          <bgColor auto="1"/>
        </patternFill>
      </fill>
    </dxf>
    <dxf>
      <font>
        <b/>
        <i val="0"/>
        <color rgb="FF92D05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FF0000"/>
      </font>
      <fill>
        <patternFill patternType="none">
          <bgColor auto="1"/>
        </patternFill>
      </fill>
    </dxf>
    <dxf>
      <font>
        <b/>
        <i val="0"/>
        <color rgb="FFFF3300"/>
      </font>
      <fill>
        <patternFill patternType="none">
          <bgColor auto="1"/>
        </patternFill>
      </fill>
    </dxf>
    <dxf>
      <font>
        <b/>
        <i val="0"/>
        <color rgb="FFFF6600"/>
      </font>
      <fill>
        <patternFill patternType="none">
          <bgColor auto="1"/>
        </patternFill>
      </fill>
    </dxf>
    <dxf>
      <font>
        <b/>
        <i val="0"/>
        <color theme="7"/>
      </font>
      <fill>
        <patternFill patternType="none">
          <bgColor auto="1"/>
        </patternFill>
      </fill>
    </dxf>
    <dxf>
      <font>
        <b/>
        <i val="0"/>
        <color theme="7" tint="0.59996337778862885"/>
      </font>
      <fill>
        <patternFill patternType="none">
          <bgColor auto="1"/>
        </patternFill>
      </fill>
    </dxf>
    <dxf>
      <font>
        <b/>
        <i val="0"/>
        <color rgb="FFCCFF99"/>
      </font>
      <fill>
        <patternFill patternType="none">
          <bgColor auto="1"/>
        </patternFill>
      </fill>
    </dxf>
    <dxf>
      <font>
        <b/>
        <i val="0"/>
        <color rgb="FF92D050"/>
      </font>
      <fill>
        <patternFill patternType="none">
          <bgColor auto="1"/>
        </patternFill>
      </fill>
    </dxf>
    <dxf>
      <font>
        <b/>
        <i val="0"/>
        <color rgb="FF00B050"/>
      </font>
      <fill>
        <patternFill patternType="none">
          <bgColor auto="1"/>
        </patternFill>
      </fill>
    </dxf>
    <dxf>
      <font>
        <b/>
        <i val="0"/>
        <color rgb="FFFFCC66"/>
      </font>
      <fill>
        <patternFill patternType="none">
          <bgColor auto="1"/>
        </patternFill>
      </fill>
    </dxf>
    <dxf>
      <font>
        <b/>
        <i val="0"/>
        <color rgb="FFC00000"/>
      </font>
      <fill>
        <patternFill patternType="none">
          <bgColor auto="1"/>
        </patternFill>
      </fill>
    </dxf>
    <dxf>
      <font>
        <b/>
        <i val="0"/>
        <color rgb="FFFF0000"/>
      </font>
      <fill>
        <patternFill patternType="none">
          <bgColor auto="1"/>
        </patternFill>
      </fill>
    </dxf>
    <dxf>
      <font>
        <b/>
        <i val="0"/>
        <color rgb="FFFF3300"/>
      </font>
      <fill>
        <patternFill patternType="none">
          <bgColor auto="1"/>
        </patternFill>
      </fill>
    </dxf>
    <dxf>
      <font>
        <b/>
        <i val="0"/>
        <color rgb="FFFF6600"/>
      </font>
      <fill>
        <patternFill patternType="none">
          <bgColor auto="1"/>
        </patternFill>
      </fill>
    </dxf>
    <dxf>
      <font>
        <b/>
        <i val="0"/>
        <color theme="7"/>
      </font>
      <fill>
        <patternFill patternType="none">
          <bgColor auto="1"/>
        </patternFill>
      </fill>
    </dxf>
    <dxf>
      <font>
        <b/>
        <i val="0"/>
        <color theme="7" tint="0.59996337778862885"/>
      </font>
      <fill>
        <patternFill patternType="none">
          <bgColor auto="1"/>
        </patternFill>
      </fill>
    </dxf>
    <dxf>
      <font>
        <b/>
        <i val="0"/>
        <color rgb="FFCCFF99"/>
      </font>
      <fill>
        <patternFill patternType="none">
          <bgColor auto="1"/>
        </patternFill>
      </fill>
    </dxf>
    <dxf>
      <font>
        <b/>
        <i val="0"/>
        <color rgb="FF92D050"/>
      </font>
      <fill>
        <patternFill patternType="none">
          <bgColor auto="1"/>
        </patternFill>
      </fill>
    </dxf>
    <dxf>
      <font>
        <b/>
        <i val="0"/>
        <color rgb="FF00B050"/>
      </font>
      <fill>
        <patternFill patternType="none">
          <bgColor auto="1"/>
        </patternFill>
      </fill>
    </dxf>
    <dxf>
      <font>
        <b/>
        <i val="0"/>
        <color rgb="FFFFCC66"/>
      </font>
      <fill>
        <patternFill patternType="none">
          <bgColor auto="1"/>
        </patternFill>
      </fill>
    </dxf>
    <dxf>
      <font>
        <b/>
        <i val="0"/>
        <color rgb="FFC000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FF6600"/>
      </font>
      <fill>
        <patternFill patternType="none">
          <bgColor auto="1"/>
        </patternFill>
      </fill>
    </dxf>
    <dxf>
      <font>
        <b/>
        <i val="0"/>
        <color theme="7"/>
      </font>
      <fill>
        <patternFill patternType="none">
          <bgColor auto="1"/>
        </patternFill>
      </fill>
    </dxf>
    <dxf>
      <font>
        <b/>
        <i val="0"/>
        <color theme="7" tint="0.59996337778862885"/>
      </font>
      <fill>
        <patternFill patternType="none">
          <bgColor auto="1"/>
        </patternFill>
      </fill>
    </dxf>
    <dxf>
      <font>
        <b/>
        <i val="0"/>
        <color rgb="FFCCFF99"/>
      </font>
      <fill>
        <patternFill patternType="none">
          <bgColor auto="1"/>
        </patternFill>
      </fill>
    </dxf>
    <dxf>
      <font>
        <b/>
        <i val="0"/>
        <color rgb="FF92D050"/>
      </font>
      <fill>
        <patternFill patternType="none">
          <bgColor auto="1"/>
        </patternFill>
      </fill>
    </dxf>
    <dxf>
      <font>
        <b/>
        <i val="0"/>
        <color rgb="FF00B050"/>
      </font>
      <fill>
        <patternFill patternType="none">
          <bgColor auto="1"/>
        </patternFill>
      </fill>
    </dxf>
    <dxf>
      <font>
        <b/>
        <i val="0"/>
        <color rgb="FFFFCC66"/>
      </font>
      <fill>
        <patternFill patternType="none">
          <bgColor auto="1"/>
        </patternFill>
      </fill>
    </dxf>
    <dxf>
      <font>
        <b/>
        <i val="0"/>
        <color rgb="FFFFCC66"/>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FF0000"/>
      </font>
      <fill>
        <patternFill patternType="none">
          <bgColor auto="1"/>
        </patternFill>
      </fill>
    </dxf>
    <dxf>
      <font>
        <b/>
        <i val="0"/>
        <color rgb="FFFF3300"/>
      </font>
      <fill>
        <patternFill patternType="none">
          <bgColor auto="1"/>
        </patternFill>
      </fill>
    </dxf>
    <dxf>
      <font>
        <b/>
        <i val="0"/>
        <color rgb="FFFF6600"/>
      </font>
      <fill>
        <patternFill patternType="none">
          <bgColor auto="1"/>
        </patternFill>
      </fill>
    </dxf>
    <dxf>
      <font>
        <b/>
        <i val="0"/>
        <color theme="7"/>
      </font>
      <fill>
        <patternFill patternType="none">
          <bgColor auto="1"/>
        </patternFill>
      </fill>
    </dxf>
    <dxf>
      <font>
        <b/>
        <i val="0"/>
        <color theme="7" tint="0.59996337778862885"/>
      </font>
      <fill>
        <patternFill patternType="none">
          <bgColor auto="1"/>
        </patternFill>
      </fill>
    </dxf>
    <dxf>
      <font>
        <b/>
        <i val="0"/>
        <color rgb="FFCCFF99"/>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FFCC66"/>
      </font>
      <fill>
        <patternFill patternType="none">
          <bgColor auto="1"/>
        </patternFill>
      </fill>
    </dxf>
    <dxf>
      <font>
        <b/>
        <i val="0"/>
        <color rgb="FFC00000"/>
      </font>
      <fill>
        <patternFill patternType="none">
          <bgColor auto="1"/>
        </patternFill>
      </fill>
    </dxf>
    <dxf>
      <font>
        <b/>
        <i val="0"/>
        <color rgb="FFFF0000"/>
      </font>
      <fill>
        <patternFill patternType="none">
          <bgColor auto="1"/>
        </patternFill>
      </fill>
    </dxf>
    <dxf>
      <font>
        <b/>
        <i val="0"/>
        <color rgb="FFFF3300"/>
      </font>
      <fill>
        <patternFill patternType="none">
          <bgColor auto="1"/>
        </patternFill>
      </fill>
    </dxf>
    <dxf>
      <font>
        <b/>
        <i val="0"/>
        <color rgb="FFFF6600"/>
      </font>
      <fill>
        <patternFill patternType="none">
          <bgColor auto="1"/>
        </patternFill>
      </fill>
    </dxf>
    <dxf>
      <font>
        <b/>
        <i val="0"/>
        <color theme="7"/>
      </font>
      <fill>
        <patternFill patternType="none">
          <bgColor auto="1"/>
        </patternFill>
      </fill>
    </dxf>
    <dxf>
      <font>
        <b/>
        <i val="0"/>
        <color theme="7" tint="0.59996337778862885"/>
      </font>
      <fill>
        <patternFill patternType="none">
          <bgColor auto="1"/>
        </patternFill>
      </fill>
    </dxf>
    <dxf>
      <font>
        <b/>
        <i val="0"/>
        <color rgb="FFCCFF99"/>
      </font>
      <fill>
        <patternFill patternType="none">
          <bgColor auto="1"/>
        </patternFill>
      </fill>
    </dxf>
    <dxf>
      <font>
        <b/>
        <i val="0"/>
        <color rgb="FF92D050"/>
      </font>
      <fill>
        <patternFill patternType="none">
          <bgColor auto="1"/>
        </patternFill>
      </fill>
    </dxf>
    <dxf>
      <font>
        <b/>
        <i val="0"/>
        <color rgb="FF00B050"/>
      </font>
      <fill>
        <patternFill patternType="none">
          <bgColor auto="1"/>
        </patternFill>
      </fill>
    </dxf>
    <dxf>
      <font>
        <b/>
        <i val="0"/>
        <color rgb="FFFFCC66"/>
      </font>
      <fill>
        <patternFill patternType="none">
          <bgColor auto="1"/>
        </patternFill>
      </fill>
    </dxf>
    <dxf>
      <font>
        <b/>
        <i val="0"/>
        <color rgb="FFC00000"/>
      </font>
      <fill>
        <patternFill patternType="none">
          <bgColor auto="1"/>
        </patternFill>
      </fill>
    </dxf>
    <dxf>
      <font>
        <b/>
        <i val="0"/>
        <color rgb="FFFF0000"/>
      </font>
      <fill>
        <patternFill patternType="none">
          <bgColor auto="1"/>
        </patternFill>
      </fill>
    </dxf>
    <dxf>
      <font>
        <b/>
        <i val="0"/>
        <color rgb="FFFF3300"/>
      </font>
      <fill>
        <patternFill patternType="none">
          <bgColor auto="1"/>
        </patternFill>
      </fill>
    </dxf>
    <dxf>
      <font>
        <b/>
        <i val="0"/>
        <color rgb="FFFF6600"/>
      </font>
      <fill>
        <patternFill patternType="none">
          <bgColor auto="1"/>
        </patternFill>
      </fill>
    </dxf>
    <dxf>
      <font>
        <b/>
        <i val="0"/>
        <color theme="7"/>
      </font>
      <fill>
        <patternFill patternType="none">
          <bgColor auto="1"/>
        </patternFill>
      </fill>
    </dxf>
    <dxf>
      <font>
        <b/>
        <i val="0"/>
        <color theme="7" tint="0.59996337778862885"/>
      </font>
      <fill>
        <patternFill patternType="none">
          <bgColor auto="1"/>
        </patternFill>
      </fill>
    </dxf>
    <dxf>
      <font>
        <b/>
        <i val="0"/>
        <color rgb="FFCCFF99"/>
      </font>
      <fill>
        <patternFill patternType="none">
          <bgColor auto="1"/>
        </patternFill>
      </fill>
    </dxf>
    <dxf>
      <font>
        <b/>
        <i val="0"/>
        <color rgb="FF92D050"/>
      </font>
      <fill>
        <patternFill patternType="none">
          <bgColor auto="1"/>
        </patternFill>
      </fill>
    </dxf>
    <dxf>
      <font>
        <b/>
        <i val="0"/>
        <color rgb="FF00B050"/>
      </font>
      <fill>
        <patternFill patternType="none">
          <bgColor auto="1"/>
        </patternFill>
      </fill>
    </dxf>
    <dxf>
      <font>
        <b/>
        <i val="0"/>
        <color rgb="FFFFCC66"/>
      </font>
      <fill>
        <patternFill patternType="none">
          <bgColor auto="1"/>
        </patternFill>
      </fill>
    </dxf>
    <dxf>
      <font>
        <b/>
        <i val="0"/>
        <color rgb="FFFF0000"/>
      </font>
      <fill>
        <patternFill patternType="none">
          <bgColor auto="1"/>
        </patternFill>
      </fill>
    </dxf>
    <dxf>
      <font>
        <b/>
        <i val="0"/>
        <color rgb="FFFF3300"/>
      </font>
      <fill>
        <patternFill patternType="none">
          <bgColor auto="1"/>
        </patternFill>
      </fill>
    </dxf>
    <dxf>
      <font>
        <b/>
        <i val="0"/>
        <color rgb="FFFF6600"/>
      </font>
      <fill>
        <patternFill patternType="none">
          <bgColor auto="1"/>
        </patternFill>
      </fill>
    </dxf>
    <dxf>
      <font>
        <b/>
        <i val="0"/>
        <color theme="7"/>
      </font>
      <fill>
        <patternFill patternType="none">
          <bgColor auto="1"/>
        </patternFill>
      </fill>
    </dxf>
    <dxf>
      <font>
        <b/>
        <i val="0"/>
        <color theme="7" tint="0.59996337778862885"/>
      </font>
      <fill>
        <patternFill patternType="none">
          <bgColor auto="1"/>
        </patternFill>
      </fill>
    </dxf>
    <dxf>
      <font>
        <b/>
        <i val="0"/>
        <color rgb="FFCCFF99"/>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FFCC66"/>
      </font>
      <fill>
        <patternFill patternType="none">
          <bgColor auto="1"/>
        </patternFill>
      </fill>
    </dxf>
    <dxf>
      <font>
        <b/>
        <i val="0"/>
        <color rgb="FF92D050"/>
      </font>
      <fill>
        <patternFill patternType="none">
          <bgColor auto="1"/>
        </patternFill>
      </fill>
    </dxf>
    <dxf>
      <font>
        <b/>
        <i val="0"/>
        <color rgb="FFFFCC66"/>
      </font>
      <fill>
        <patternFill patternType="none">
          <bgColor auto="1"/>
        </patternFill>
      </fill>
    </dxf>
    <dxf>
      <font>
        <b/>
        <i val="0"/>
        <color rgb="FFC00000"/>
      </font>
      <fill>
        <patternFill patternType="none">
          <bgColor auto="1"/>
        </patternFill>
      </fill>
    </dxf>
    <dxf>
      <font>
        <b/>
        <i val="0"/>
        <color rgb="FFFF0000"/>
      </font>
      <fill>
        <patternFill patternType="none">
          <bgColor auto="1"/>
        </patternFill>
      </fill>
    </dxf>
    <dxf>
      <font>
        <b/>
        <i val="0"/>
        <color rgb="FFFF3300"/>
      </font>
      <fill>
        <patternFill patternType="none">
          <bgColor auto="1"/>
        </patternFill>
      </fill>
    </dxf>
    <dxf>
      <font>
        <b/>
        <i val="0"/>
        <color theme="7"/>
      </font>
      <fill>
        <patternFill patternType="none">
          <bgColor auto="1"/>
        </patternFill>
      </fill>
    </dxf>
    <dxf>
      <font>
        <b/>
        <i val="0"/>
        <color theme="7" tint="0.59996337778862885"/>
      </font>
      <fill>
        <patternFill patternType="none">
          <bgColor auto="1"/>
        </patternFill>
      </fill>
    </dxf>
    <dxf>
      <font>
        <b/>
        <i val="0"/>
        <color rgb="FFCCFF99"/>
      </font>
      <fill>
        <patternFill patternType="none">
          <bgColor auto="1"/>
        </patternFill>
      </fill>
    </dxf>
    <dxf>
      <font>
        <b/>
        <i val="0"/>
        <color rgb="FF92D050"/>
      </font>
      <fill>
        <patternFill patternType="none">
          <bgColor auto="1"/>
        </patternFill>
      </fill>
    </dxf>
    <dxf>
      <font>
        <b/>
        <i val="0"/>
        <color rgb="FF00B050"/>
      </font>
      <fill>
        <patternFill patternType="none">
          <bgColor auto="1"/>
        </patternFill>
      </fill>
    </dxf>
    <dxf>
      <font>
        <b/>
        <i val="0"/>
        <color rgb="FFFF6600"/>
      </font>
      <fill>
        <patternFill patternType="none">
          <bgColor auto="1"/>
        </patternFill>
      </fill>
    </dxf>
    <dxf>
      <font>
        <b/>
        <i val="0"/>
        <color rgb="FFC00000"/>
      </font>
      <fill>
        <patternFill patternType="none">
          <bgColor auto="1"/>
        </patternFill>
      </fill>
    </dxf>
    <dxf>
      <font>
        <b/>
        <i val="0"/>
        <color rgb="FFFF0000"/>
      </font>
      <fill>
        <patternFill patternType="none">
          <bgColor auto="1"/>
        </patternFill>
      </fill>
    </dxf>
    <dxf>
      <font>
        <b/>
        <i val="0"/>
        <color rgb="FF92D050"/>
      </font>
      <fill>
        <patternFill patternType="none">
          <bgColor auto="1"/>
        </patternFill>
      </fill>
    </dxf>
    <dxf>
      <font>
        <b/>
        <i val="0"/>
        <color rgb="FFFF3300"/>
      </font>
      <fill>
        <patternFill patternType="none">
          <bgColor auto="1"/>
        </patternFill>
      </fill>
    </dxf>
    <dxf>
      <font>
        <b/>
        <i val="0"/>
        <color rgb="FFFF6600"/>
      </font>
      <fill>
        <patternFill patternType="none">
          <bgColor auto="1"/>
        </patternFill>
      </fill>
    </dxf>
    <dxf>
      <font>
        <b/>
        <i val="0"/>
        <color theme="7"/>
      </font>
      <fill>
        <patternFill patternType="none">
          <bgColor auto="1"/>
        </patternFill>
      </fill>
    </dxf>
    <dxf>
      <font>
        <b/>
        <i val="0"/>
        <color theme="7" tint="0.59996337778862885"/>
      </font>
      <fill>
        <patternFill patternType="none">
          <bgColor auto="1"/>
        </patternFill>
      </fill>
    </dxf>
    <dxf>
      <font>
        <b/>
        <i val="0"/>
        <color rgb="FFCCFF99"/>
      </font>
      <fill>
        <patternFill patternType="none">
          <bgColor auto="1"/>
        </patternFill>
      </fill>
    </dxf>
    <dxf>
      <font>
        <b/>
        <i val="0"/>
        <color rgb="FF00B050"/>
      </font>
      <fill>
        <patternFill patternType="none">
          <bgColor auto="1"/>
        </patternFill>
      </fill>
    </dxf>
    <dxf>
      <font>
        <b/>
        <i val="0"/>
        <color rgb="FFFFCC66"/>
      </font>
      <fill>
        <patternFill patternType="none">
          <bgColor auto="1"/>
        </patternFill>
      </fill>
    </dxf>
    <dxf>
      <font>
        <color theme="7" tint="0.59996337778862885"/>
      </font>
      <fill>
        <patternFill patternType="solid">
          <bgColor rgb="FF565C76"/>
        </patternFill>
      </fill>
    </dxf>
    <dxf>
      <font>
        <color rgb="FFCCFF99"/>
      </font>
      <fill>
        <patternFill patternType="solid">
          <bgColor rgb="FF565C76"/>
        </patternFill>
      </fill>
    </dxf>
    <dxf>
      <font>
        <color rgb="FF00B050"/>
      </font>
      <fill>
        <patternFill patternType="solid">
          <bgColor rgb="FF565C76"/>
        </patternFill>
      </fill>
    </dxf>
    <dxf>
      <font>
        <color theme="9"/>
      </font>
      <fill>
        <patternFill patternType="solid">
          <bgColor rgb="FF565C76"/>
        </patternFill>
      </fill>
    </dxf>
    <dxf>
      <font>
        <color rgb="FFC00000"/>
      </font>
      <fill>
        <patternFill patternType="solid">
          <bgColor rgb="FF565C76"/>
        </patternFill>
      </fill>
    </dxf>
    <dxf>
      <font>
        <color rgb="FFFF0000"/>
      </font>
      <fill>
        <patternFill patternType="solid">
          <bgColor rgb="FF565C76"/>
        </patternFill>
      </fill>
    </dxf>
    <dxf>
      <font>
        <color rgb="FFFF3300"/>
      </font>
      <fill>
        <patternFill patternType="solid">
          <bgColor rgb="FF565C76"/>
        </patternFill>
      </fill>
    </dxf>
    <dxf>
      <font>
        <color theme="5"/>
      </font>
      <fill>
        <patternFill patternType="solid">
          <bgColor rgb="FF565C76"/>
        </patternFill>
      </fill>
    </dxf>
    <dxf>
      <font>
        <color rgb="FFFFC000"/>
      </font>
      <fill>
        <patternFill patternType="solid">
          <bgColor rgb="FF565C76"/>
        </patternFill>
      </fill>
    </dxf>
    <dxf>
      <font>
        <color rgb="FFFFCC66"/>
      </font>
      <fill>
        <patternFill patternType="solid">
          <bgColor rgb="FF565C76"/>
        </patternFill>
      </fill>
    </dxf>
    <dxf>
      <font>
        <b/>
        <i val="0"/>
        <color rgb="FFFFCC66"/>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C00000"/>
      </font>
      <fill>
        <patternFill patternType="none">
          <bgColor auto="1"/>
        </patternFill>
      </fill>
    </dxf>
    <dxf>
      <font>
        <b/>
        <i val="0"/>
        <color rgb="FFFF0000"/>
      </font>
      <fill>
        <patternFill patternType="none">
          <bgColor auto="1"/>
        </patternFill>
      </fill>
    </dxf>
    <dxf>
      <font>
        <b/>
        <i val="0"/>
        <color rgb="FFFFCC66"/>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b/>
        <i val="0"/>
        <color rgb="FFCCFF99"/>
      </font>
      <fill>
        <patternFill patternType="none">
          <bgColor auto="1"/>
        </patternFill>
      </fill>
    </dxf>
    <dxf>
      <font>
        <b/>
        <i val="0"/>
        <color rgb="FF92D050"/>
      </font>
      <fill>
        <patternFill patternType="none">
          <bgColor auto="1"/>
        </patternFill>
      </fill>
    </dxf>
    <dxf>
      <font>
        <b/>
        <i val="0"/>
        <color rgb="FFFF6600"/>
      </font>
      <fill>
        <patternFill patternType="none">
          <bgColor auto="1"/>
        </patternFill>
      </fill>
    </dxf>
    <dxf>
      <font>
        <b/>
        <i val="0"/>
        <color rgb="FF00B050"/>
      </font>
      <fill>
        <patternFill patternType="none">
          <bgColor auto="1"/>
        </patternFill>
      </fill>
    </dxf>
    <dxf>
      <font>
        <b/>
        <i val="0"/>
        <color rgb="FFFFCC66"/>
      </font>
      <fill>
        <patternFill patternType="none">
          <bgColor auto="1"/>
        </patternFill>
      </fill>
    </dxf>
    <dxf>
      <font>
        <b/>
        <i val="0"/>
        <color rgb="FFC00000"/>
      </font>
      <fill>
        <patternFill patternType="none">
          <bgColor auto="1"/>
        </patternFill>
      </fill>
    </dxf>
    <dxf>
      <font>
        <b/>
        <i val="0"/>
        <color rgb="FFFF0000"/>
      </font>
      <fill>
        <patternFill patternType="none">
          <bgColor auto="1"/>
        </patternFill>
      </fill>
    </dxf>
    <dxf>
      <font>
        <b/>
        <i val="0"/>
        <color rgb="FFFF3300"/>
      </font>
      <fill>
        <patternFill patternType="none">
          <bgColor auto="1"/>
        </patternFill>
      </fill>
    </dxf>
    <dxf>
      <font>
        <b/>
        <i val="0"/>
        <color theme="7"/>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b/>
        <i val="0"/>
        <color rgb="FFFFCC66"/>
      </font>
      <fill>
        <patternFill patternType="none">
          <bgColor auto="1"/>
        </patternFill>
      </fill>
    </dxf>
    <dxf>
      <font>
        <b/>
        <i val="0"/>
        <color rgb="FF00B050"/>
      </font>
      <fill>
        <patternFill patternType="none">
          <bgColor auto="1"/>
        </patternFill>
      </fill>
    </dxf>
    <dxf>
      <font>
        <b/>
        <i val="0"/>
        <color theme="7" tint="0.59996337778862885"/>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FFCC66"/>
      </font>
      <fill>
        <patternFill patternType="none">
          <bgColor auto="1"/>
        </patternFill>
      </fill>
    </dxf>
    <dxf>
      <font>
        <b/>
        <i val="0"/>
        <color theme="7" tint="0.59996337778862885"/>
      </font>
      <fill>
        <patternFill patternType="none">
          <bgColor auto="1"/>
        </patternFill>
      </fill>
    </dxf>
    <dxf>
      <font>
        <b/>
        <i val="0"/>
        <color rgb="FFCCFF99"/>
      </font>
      <fill>
        <patternFill patternType="none">
          <bgColor auto="1"/>
        </patternFill>
      </fill>
    </dxf>
  </dxfs>
  <tableStyles count="0" defaultTableStyle="TableStyleMedium2" defaultPivotStyle="PivotStyleLight16"/>
  <colors>
    <mruColors>
      <color rgb="FFFFAF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3466235332036"/>
          <c:y val="1.9705931640588634E-2"/>
          <c:w val="0.75417029759702026"/>
          <c:h val="0.98029406835941124"/>
        </c:manualLayout>
      </c:layout>
      <c:doughnutChart>
        <c:varyColors val="1"/>
        <c:ser>
          <c:idx val="0"/>
          <c:order val="0"/>
          <c:spPr>
            <a:solidFill>
              <a:schemeClr val="accent1"/>
            </a:solidFill>
            <a:ln w="6350">
              <a:solidFill>
                <a:schemeClr val="tx1"/>
              </a:solidFill>
            </a:ln>
          </c:spPr>
          <c:dPt>
            <c:idx val="0"/>
            <c:bubble3D val="0"/>
            <c:spPr>
              <a:solidFill>
                <a:srgbClr val="00B050"/>
              </a:solidFill>
              <a:ln w="6350">
                <a:solidFill>
                  <a:schemeClr val="tx1"/>
                </a:solidFill>
              </a:ln>
              <a:effectLst/>
            </c:spPr>
            <c:extLst>
              <c:ext xmlns:c16="http://schemas.microsoft.com/office/drawing/2014/chart" uri="{C3380CC4-5D6E-409C-BE32-E72D297353CC}">
                <c16:uniqueId val="{00000002-AC2C-407B-97BE-95262DE33C81}"/>
              </c:ext>
            </c:extLst>
          </c:dPt>
          <c:dPt>
            <c:idx val="1"/>
            <c:bubble3D val="0"/>
            <c:spPr>
              <a:solidFill>
                <a:srgbClr val="FF0000"/>
              </a:solidFill>
              <a:ln w="6350">
                <a:solidFill>
                  <a:schemeClr val="tx1"/>
                </a:solidFill>
              </a:ln>
              <a:effectLst/>
            </c:spPr>
            <c:extLst>
              <c:ext xmlns:c16="http://schemas.microsoft.com/office/drawing/2014/chart" uri="{C3380CC4-5D6E-409C-BE32-E72D297353CC}">
                <c16:uniqueId val="{00000001-AC2C-407B-97BE-95262DE33C81}"/>
              </c:ext>
            </c:extLst>
          </c:dPt>
          <c:val>
            <c:numRef>
              <c:f>'Output - Results'!$C$14:$C$15</c:f>
              <c:numCache>
                <c:formatCode>0.00</c:formatCode>
                <c:ptCount val="2"/>
                <c:pt idx="0">
                  <c:v>0.11805555555555555</c:v>
                </c:pt>
                <c:pt idx="1">
                  <c:v>0.88194444444444442</c:v>
                </c:pt>
              </c:numCache>
            </c:numRef>
          </c:val>
          <c:extLst>
            <c:ext xmlns:c16="http://schemas.microsoft.com/office/drawing/2014/chart" uri="{C3380CC4-5D6E-409C-BE32-E72D297353CC}">
              <c16:uniqueId val="{00000000-AC2C-407B-97BE-95262DE33C81}"/>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Results'!$A$32</c:f>
              <c:numCache>
                <c:formatCode>0</c:formatCode>
                <c:ptCount val="1"/>
                <c:pt idx="0">
                  <c:v>0</c:v>
                </c:pt>
              </c:numCache>
            </c:numRef>
          </c:val>
          <c:extLst>
            <c:ext xmlns:c16="http://schemas.microsoft.com/office/drawing/2014/chart" uri="{C3380CC4-5D6E-409C-BE32-E72D297353CC}">
              <c16:uniqueId val="{00000000-073D-4423-8B68-BED5D3136C7F}"/>
            </c:ext>
          </c:extLst>
        </c:ser>
        <c:ser>
          <c:idx val="1"/>
          <c:order val="1"/>
          <c:spPr>
            <a:solidFill>
              <a:srgbClr val="00B050"/>
            </a:solidFill>
            <a:ln w="6350">
              <a:solidFill>
                <a:sysClr val="windowText" lastClr="000000"/>
              </a:solidFill>
            </a:ln>
            <a:effectLst/>
          </c:spPr>
          <c:invertIfNegative val="0"/>
          <c:dPt>
            <c:idx val="0"/>
            <c:invertIfNegative val="0"/>
            <c:bubble3D val="0"/>
            <c:extLst>
              <c:ext xmlns:c16="http://schemas.microsoft.com/office/drawing/2014/chart" uri="{C3380CC4-5D6E-409C-BE32-E72D297353CC}">
                <c16:uniqueId val="{0000000A-7E94-4948-9FC6-F8BDE58D0293}"/>
              </c:ext>
            </c:extLst>
          </c:dPt>
          <c:val>
            <c:numRef>
              <c:f>'Output - Results'!$B$32</c:f>
              <c:numCache>
                <c:formatCode>0</c:formatCode>
                <c:ptCount val="1"/>
                <c:pt idx="0">
                  <c:v>1</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Results'!$A$34</c:f>
              <c:numCache>
                <c:formatCode>0</c:formatCode>
                <c:ptCount val="1"/>
                <c:pt idx="0">
                  <c:v>0</c:v>
                </c:pt>
              </c:numCache>
            </c:numRef>
          </c:val>
          <c:extLst>
            <c:ext xmlns:c16="http://schemas.microsoft.com/office/drawing/2014/chart" uri="{C3380CC4-5D6E-409C-BE32-E72D297353CC}">
              <c16:uniqueId val="{00000000-073D-4423-8B68-BED5D3136C7F}"/>
            </c:ext>
          </c:extLst>
        </c:ser>
        <c:ser>
          <c:idx val="1"/>
          <c:order val="1"/>
          <c:spPr>
            <a:solidFill>
              <a:srgbClr val="00B050"/>
            </a:solidFill>
            <a:ln w="6350">
              <a:solidFill>
                <a:sysClr val="windowText" lastClr="000000"/>
              </a:solidFill>
            </a:ln>
            <a:effectLst/>
          </c:spPr>
          <c:invertIfNegative val="0"/>
          <c:dPt>
            <c:idx val="0"/>
            <c:invertIfNegative val="0"/>
            <c:bubble3D val="0"/>
            <c:extLst>
              <c:ext xmlns:c16="http://schemas.microsoft.com/office/drawing/2014/chart" uri="{C3380CC4-5D6E-409C-BE32-E72D297353CC}">
                <c16:uniqueId val="{00000009-D808-4DD8-91DA-58F6076E4979}"/>
              </c:ext>
            </c:extLst>
          </c:dPt>
          <c:val>
            <c:numRef>
              <c:f>'Output - Results'!$B$34</c:f>
              <c:numCache>
                <c:formatCode>0</c:formatCode>
                <c:ptCount val="1"/>
                <c:pt idx="0">
                  <c:v>1</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Results'!$A$36</c:f>
              <c:numCache>
                <c:formatCode>0</c:formatCode>
                <c:ptCount val="1"/>
                <c:pt idx="0">
                  <c:v>0</c:v>
                </c:pt>
              </c:numCache>
            </c:numRef>
          </c:val>
          <c:extLst>
            <c:ext xmlns:c16="http://schemas.microsoft.com/office/drawing/2014/chart" uri="{C3380CC4-5D6E-409C-BE32-E72D297353CC}">
              <c16:uniqueId val="{00000000-073D-4423-8B68-BED5D3136C7F}"/>
            </c:ext>
          </c:extLst>
        </c:ser>
        <c:ser>
          <c:idx val="1"/>
          <c:order val="1"/>
          <c:spPr>
            <a:solidFill>
              <a:srgbClr val="00B050"/>
            </a:solidFill>
            <a:ln>
              <a:noFill/>
            </a:ln>
            <a:effectLst/>
          </c:spPr>
          <c:invertIfNegative val="0"/>
          <c:dPt>
            <c:idx val="0"/>
            <c:invertIfNegative val="0"/>
            <c:bubble3D val="0"/>
            <c:spPr>
              <a:solidFill>
                <a:srgbClr val="00B050"/>
              </a:solidFill>
              <a:ln>
                <a:solidFill>
                  <a:sysClr val="windowText" lastClr="000000"/>
                </a:solidFill>
              </a:ln>
              <a:effectLst/>
            </c:spPr>
            <c:extLst>
              <c:ext xmlns:c16="http://schemas.microsoft.com/office/drawing/2014/chart" uri="{C3380CC4-5D6E-409C-BE32-E72D297353CC}">
                <c16:uniqueId val="{0000000A-7F10-40D2-B5BC-80D65139A067}"/>
              </c:ext>
            </c:extLst>
          </c:dPt>
          <c:val>
            <c:numRef>
              <c:f>'Output - Results'!$B$36</c:f>
              <c:numCache>
                <c:formatCode>0</c:formatCode>
                <c:ptCount val="1"/>
                <c:pt idx="0">
                  <c:v>1</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Results'!$A$38</c:f>
              <c:numCache>
                <c:formatCode>0</c:formatCode>
                <c:ptCount val="1"/>
                <c:pt idx="0">
                  <c:v>1</c:v>
                </c:pt>
              </c:numCache>
            </c:numRef>
          </c:val>
          <c:extLst>
            <c:ext xmlns:c16="http://schemas.microsoft.com/office/drawing/2014/chart" uri="{C3380CC4-5D6E-409C-BE32-E72D297353CC}">
              <c16:uniqueId val="{00000000-073D-4423-8B68-BED5D3136C7F}"/>
            </c:ext>
          </c:extLst>
        </c:ser>
        <c:ser>
          <c:idx val="1"/>
          <c:order val="1"/>
          <c:spPr>
            <a:solidFill>
              <a:srgbClr val="00B050"/>
            </a:solidFill>
            <a:ln>
              <a:noFill/>
            </a:ln>
            <a:effectLst/>
          </c:spPr>
          <c:invertIfNegative val="0"/>
          <c:dPt>
            <c:idx val="0"/>
            <c:invertIfNegative val="0"/>
            <c:bubble3D val="0"/>
            <c:extLst>
              <c:ext xmlns:c16="http://schemas.microsoft.com/office/drawing/2014/chart" uri="{C3380CC4-5D6E-409C-BE32-E72D297353CC}">
                <c16:uniqueId val="{00000009-47FB-42F0-968C-2A1C292D83C6}"/>
              </c:ext>
            </c:extLst>
          </c:dPt>
          <c:val>
            <c:numRef>
              <c:f>'Output - Results'!$B$38</c:f>
              <c:numCache>
                <c:formatCode>0</c:formatCode>
                <c:ptCount val="1"/>
                <c:pt idx="0">
                  <c:v>0</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Results'!$A$40</c:f>
              <c:numCache>
                <c:formatCode>0</c:formatCode>
                <c:ptCount val="1"/>
                <c:pt idx="0">
                  <c:v>0</c:v>
                </c:pt>
              </c:numCache>
            </c:numRef>
          </c:val>
          <c:extLst>
            <c:ext xmlns:c16="http://schemas.microsoft.com/office/drawing/2014/chart" uri="{C3380CC4-5D6E-409C-BE32-E72D297353CC}">
              <c16:uniqueId val="{00000000-073D-4423-8B68-BED5D3136C7F}"/>
            </c:ext>
          </c:extLst>
        </c:ser>
        <c:ser>
          <c:idx val="1"/>
          <c:order val="1"/>
          <c:spPr>
            <a:solidFill>
              <a:srgbClr val="00B050"/>
            </a:solidFill>
            <a:ln>
              <a:solidFill>
                <a:sysClr val="windowText" lastClr="000000"/>
              </a:solidFill>
            </a:ln>
            <a:effectLst/>
          </c:spPr>
          <c:invertIfNegative val="0"/>
          <c:dPt>
            <c:idx val="0"/>
            <c:invertIfNegative val="0"/>
            <c:bubble3D val="0"/>
            <c:extLst>
              <c:ext xmlns:c16="http://schemas.microsoft.com/office/drawing/2014/chart" uri="{C3380CC4-5D6E-409C-BE32-E72D297353CC}">
                <c16:uniqueId val="{0000000A-31B6-4CB0-A8DD-37C89429817B}"/>
              </c:ext>
            </c:extLst>
          </c:dPt>
          <c:val>
            <c:numRef>
              <c:f>'Output - Results'!$B$40</c:f>
              <c:numCache>
                <c:formatCode>0</c:formatCode>
                <c:ptCount val="1"/>
                <c:pt idx="0">
                  <c:v>1</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Results'!$A$42</c:f>
              <c:numCache>
                <c:formatCode>0</c:formatCode>
                <c:ptCount val="1"/>
                <c:pt idx="0">
                  <c:v>0</c:v>
                </c:pt>
              </c:numCache>
            </c:numRef>
          </c:val>
          <c:extLst>
            <c:ext xmlns:c16="http://schemas.microsoft.com/office/drawing/2014/chart" uri="{C3380CC4-5D6E-409C-BE32-E72D297353CC}">
              <c16:uniqueId val="{00000000-073D-4423-8B68-BED5D3136C7F}"/>
            </c:ext>
          </c:extLst>
        </c:ser>
        <c:ser>
          <c:idx val="1"/>
          <c:order val="1"/>
          <c:spPr>
            <a:solidFill>
              <a:srgbClr val="00B050"/>
            </a:solidFill>
            <a:ln>
              <a:solidFill>
                <a:sysClr val="windowText" lastClr="000000"/>
              </a:solidFill>
            </a:ln>
            <a:effectLst/>
          </c:spPr>
          <c:invertIfNegative val="0"/>
          <c:dPt>
            <c:idx val="0"/>
            <c:invertIfNegative val="0"/>
            <c:bubble3D val="0"/>
            <c:extLst>
              <c:ext xmlns:c16="http://schemas.microsoft.com/office/drawing/2014/chart" uri="{C3380CC4-5D6E-409C-BE32-E72D297353CC}">
                <c16:uniqueId val="{00000009-F4C7-4807-B428-E50976F40A03}"/>
              </c:ext>
            </c:extLst>
          </c:dPt>
          <c:val>
            <c:numRef>
              <c:f>'Output - Results'!$B$42</c:f>
              <c:numCache>
                <c:formatCode>0</c:formatCode>
                <c:ptCount val="1"/>
                <c:pt idx="0">
                  <c:v>1</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Results'!$A$44</c:f>
              <c:numCache>
                <c:formatCode>0</c:formatCode>
                <c:ptCount val="1"/>
                <c:pt idx="0">
                  <c:v>0</c:v>
                </c:pt>
              </c:numCache>
            </c:numRef>
          </c:val>
          <c:extLst>
            <c:ext xmlns:c16="http://schemas.microsoft.com/office/drawing/2014/chart" uri="{C3380CC4-5D6E-409C-BE32-E72D297353CC}">
              <c16:uniqueId val="{00000000-073D-4423-8B68-BED5D3136C7F}"/>
            </c:ext>
          </c:extLst>
        </c:ser>
        <c:ser>
          <c:idx val="1"/>
          <c:order val="1"/>
          <c:spPr>
            <a:solidFill>
              <a:srgbClr val="00B050"/>
            </a:solidFill>
            <a:ln w="6350">
              <a:solidFill>
                <a:sysClr val="windowText" lastClr="000000"/>
              </a:solidFill>
            </a:ln>
            <a:effectLst/>
          </c:spPr>
          <c:invertIfNegative val="0"/>
          <c:dPt>
            <c:idx val="0"/>
            <c:invertIfNegative val="0"/>
            <c:bubble3D val="0"/>
            <c:extLst>
              <c:ext xmlns:c16="http://schemas.microsoft.com/office/drawing/2014/chart" uri="{C3380CC4-5D6E-409C-BE32-E72D297353CC}">
                <c16:uniqueId val="{0000000A-EFE1-44F0-9591-50B6A481885B}"/>
              </c:ext>
            </c:extLst>
          </c:dPt>
          <c:val>
            <c:numRef>
              <c:f>'Output - Results'!$B$44</c:f>
              <c:numCache>
                <c:formatCode>0</c:formatCode>
                <c:ptCount val="1"/>
                <c:pt idx="0">
                  <c:v>1</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Scaling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7395147035192"/>
          <c:y val="0.26863672182821124"/>
          <c:w val="0.83210402271144679"/>
          <c:h val="0.54918622760807378"/>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'Value - Material safety'!$U$40:$U$41</c:f>
              <c:numCache>
                <c:formatCode>General</c:formatCode>
                <c:ptCount val="2"/>
                <c:pt idx="0">
                  <c:v>6</c:v>
                </c:pt>
                <c:pt idx="1">
                  <c:v>26</c:v>
                </c:pt>
              </c:numCache>
            </c:numRef>
          </c:xVal>
          <c:yVal>
            <c:numRef>
              <c:f>'Value - Material safety'!$V$40:$V$41</c:f>
              <c:numCache>
                <c:formatCode>General</c:formatCode>
                <c:ptCount val="2"/>
                <c:pt idx="0">
                  <c:v>1</c:v>
                </c:pt>
                <c:pt idx="1">
                  <c:v>10</c:v>
                </c:pt>
              </c:numCache>
            </c:numRef>
          </c:yVal>
          <c:smooth val="0"/>
          <c:extLst>
            <c:ext xmlns:c16="http://schemas.microsoft.com/office/drawing/2014/chart" uri="{C3380CC4-5D6E-409C-BE32-E72D297353CC}">
              <c16:uniqueId val="{00000000-ADF9-4B5E-9A2B-0687A2394522}"/>
            </c:ext>
          </c:extLst>
        </c:ser>
        <c:dLbls>
          <c:showLegendKey val="0"/>
          <c:showVal val="0"/>
          <c:showCatName val="0"/>
          <c:showSerName val="0"/>
          <c:showPercent val="0"/>
          <c:showBubbleSize val="0"/>
        </c:dLbls>
        <c:axId val="621809439"/>
        <c:axId val="621793119"/>
      </c:scatterChart>
      <c:valAx>
        <c:axId val="621809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793119"/>
        <c:crosses val="autoZero"/>
        <c:crossBetween val="midCat"/>
      </c:valAx>
      <c:valAx>
        <c:axId val="6217931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80943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39105352548887E-2"/>
          <c:y val="3.5443036404618697E-2"/>
          <c:w val="0.72492149487950108"/>
          <c:h val="0.89914487085307948"/>
        </c:manualLayout>
      </c:layout>
      <c:doughnut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1-0019-4FDF-9D12-6F82A3823A00}"/>
              </c:ext>
            </c:extLst>
          </c:dPt>
          <c:dPt>
            <c:idx val="1"/>
            <c:bubble3D val="0"/>
            <c:spPr>
              <a:solidFill>
                <a:srgbClr val="FF3300"/>
              </a:solidFill>
              <a:ln w="19050">
                <a:solidFill>
                  <a:schemeClr val="lt1"/>
                </a:solidFill>
              </a:ln>
              <a:effectLst/>
            </c:spPr>
            <c:extLst>
              <c:ext xmlns:c16="http://schemas.microsoft.com/office/drawing/2014/chart" uri="{C3380CC4-5D6E-409C-BE32-E72D297353CC}">
                <c16:uniqueId val="{00000003-0019-4FDF-9D12-6F82A3823A00}"/>
              </c:ext>
            </c:extLst>
          </c:dPt>
          <c:dPt>
            <c:idx val="2"/>
            <c:bubble3D val="0"/>
            <c:spPr>
              <a:solidFill>
                <a:srgbClr val="FF0000"/>
              </a:solidFill>
              <a:ln w="19050">
                <a:noFill/>
              </a:ln>
              <a:effectLst/>
            </c:spPr>
            <c:extLst>
              <c:ext xmlns:c16="http://schemas.microsoft.com/office/drawing/2014/chart" uri="{C3380CC4-5D6E-409C-BE32-E72D297353CC}">
                <c16:uniqueId val="{00000005-0019-4FDF-9D12-6F82A3823A00}"/>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0019-4FDF-9D12-6F82A3823A00}"/>
              </c:ext>
            </c:extLst>
          </c:dPt>
          <c:dPt>
            <c:idx val="4"/>
            <c:bubble3D val="0"/>
            <c:spPr>
              <a:solidFill>
                <a:srgbClr val="FFC000"/>
              </a:solidFill>
              <a:ln w="161925" cmpd="dbl">
                <a:solidFill>
                  <a:schemeClr val="lt1"/>
                </a:solidFill>
              </a:ln>
              <a:effectLst/>
            </c:spPr>
            <c:extLst>
              <c:ext xmlns:c16="http://schemas.microsoft.com/office/drawing/2014/chart" uri="{C3380CC4-5D6E-409C-BE32-E72D297353CC}">
                <c16:uniqueId val="{00000009-0019-4FDF-9D12-6F82A3823A00}"/>
              </c:ext>
            </c:extLst>
          </c:dPt>
          <c:dPt>
            <c:idx val="5"/>
            <c:bubble3D val="0"/>
            <c:spPr>
              <a:solidFill>
                <a:srgbClr val="FFC000"/>
              </a:solidFill>
              <a:ln w="12700">
                <a:solidFill>
                  <a:srgbClr val="FFC000"/>
                </a:solidFill>
              </a:ln>
              <a:effectLst/>
            </c:spPr>
            <c:extLst>
              <c:ext xmlns:c16="http://schemas.microsoft.com/office/drawing/2014/chart" uri="{C3380CC4-5D6E-409C-BE32-E72D297353CC}">
                <c16:uniqueId val="{0000000B-0019-4FDF-9D12-6F82A3823A00}"/>
              </c:ext>
            </c:extLst>
          </c:dPt>
          <c:dPt>
            <c:idx val="6"/>
            <c:bubble3D val="0"/>
            <c:spPr>
              <a:solidFill>
                <a:srgbClr val="FFFFCC"/>
              </a:solidFill>
              <a:ln w="19050">
                <a:solidFill>
                  <a:schemeClr val="lt1"/>
                </a:solidFill>
              </a:ln>
              <a:effectLst/>
            </c:spPr>
            <c:extLst>
              <c:ext xmlns:c16="http://schemas.microsoft.com/office/drawing/2014/chart" uri="{C3380CC4-5D6E-409C-BE32-E72D297353CC}">
                <c16:uniqueId val="{0000000D-0019-4FDF-9D12-6F82A3823A00}"/>
              </c:ext>
            </c:extLst>
          </c:dPt>
          <c:dPt>
            <c:idx val="7"/>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F-0019-4FDF-9D12-6F82A3823A00}"/>
              </c:ext>
            </c:extLst>
          </c:dPt>
          <c:dPt>
            <c:idx val="8"/>
            <c:bubble3D val="0"/>
            <c:spPr>
              <a:solidFill>
                <a:schemeClr val="accent3">
                  <a:lumMod val="40000"/>
                  <a:lumOff val="60000"/>
                </a:schemeClr>
              </a:solidFill>
              <a:ln w="19050">
                <a:solidFill>
                  <a:schemeClr val="lt1"/>
                </a:solidFill>
              </a:ln>
              <a:effectLst/>
            </c:spPr>
            <c:extLst>
              <c:ext xmlns:c16="http://schemas.microsoft.com/office/drawing/2014/chart" uri="{C3380CC4-5D6E-409C-BE32-E72D297353CC}">
                <c16:uniqueId val="{00000011-0019-4FDF-9D12-6F82A3823A00}"/>
              </c:ext>
            </c:extLst>
          </c:dPt>
          <c:dPt>
            <c:idx val="9"/>
            <c:bubble3D val="0"/>
            <c:spPr>
              <a:solidFill>
                <a:srgbClr val="00B050"/>
              </a:solidFill>
              <a:ln w="19050">
                <a:solidFill>
                  <a:schemeClr val="lt1"/>
                </a:solidFill>
              </a:ln>
              <a:effectLst/>
            </c:spPr>
            <c:extLst>
              <c:ext xmlns:c16="http://schemas.microsoft.com/office/drawing/2014/chart" uri="{C3380CC4-5D6E-409C-BE32-E72D297353CC}">
                <c16:uniqueId val="{00000013-0019-4FDF-9D12-6F82A3823A00}"/>
              </c:ext>
            </c:extLst>
          </c:dPt>
          <c:dPt>
            <c:idx val="10"/>
            <c:bubble3D val="0"/>
            <c:spPr>
              <a:solidFill>
                <a:srgbClr val="7D839F"/>
              </a:solidFill>
              <a:ln w="19050">
                <a:noFill/>
              </a:ln>
              <a:effectLst/>
            </c:spPr>
            <c:extLst>
              <c:ext xmlns:c16="http://schemas.microsoft.com/office/drawing/2014/chart" uri="{C3380CC4-5D6E-409C-BE32-E72D297353CC}">
                <c16:uniqueId val="{00000015-0019-4FDF-9D12-6F82A3823A00}"/>
              </c:ext>
            </c:extLst>
          </c:dPt>
          <c:cat>
            <c:strLit>
              <c:ptCount val="11"/>
              <c:pt idx="0">
                <c:v>J</c:v>
              </c:pt>
              <c:pt idx="1">
                <c:v>I</c:v>
              </c:pt>
              <c:pt idx="2">
                <c:v>H</c:v>
              </c:pt>
              <c:pt idx="3">
                <c:v>G</c:v>
              </c:pt>
              <c:pt idx="4">
                <c:v>F</c:v>
              </c:pt>
              <c:pt idx="5">
                <c:v>E</c:v>
              </c:pt>
              <c:pt idx="6">
                <c:v>D</c:v>
              </c:pt>
              <c:pt idx="7">
                <c:v>C</c:v>
              </c:pt>
              <c:pt idx="8">
                <c:v>B</c:v>
              </c:pt>
              <c:pt idx="9">
                <c:v>A</c:v>
              </c:pt>
              <c:pt idx="10">
                <c:v>blanc</c:v>
              </c:pt>
            </c:strLit>
          </c:cat>
          <c:val>
            <c:numLit>
              <c:formatCode>General</c:formatCode>
              <c:ptCount val="11"/>
              <c:pt idx="0">
                <c:v>#N/A</c:v>
              </c:pt>
              <c:pt idx="1">
                <c:v>#N/A</c:v>
              </c:pt>
              <c:pt idx="2">
                <c:v>0.28985977678533614</c:v>
              </c:pt>
              <c:pt idx="3">
                <c:v>#N/A</c:v>
              </c:pt>
              <c:pt idx="4">
                <c:v>#N/A</c:v>
              </c:pt>
              <c:pt idx="5">
                <c:v>#N/A</c:v>
              </c:pt>
              <c:pt idx="6">
                <c:v>#N/A</c:v>
              </c:pt>
              <c:pt idx="7">
                <c:v>#N/A</c:v>
              </c:pt>
              <c:pt idx="8">
                <c:v>#N/A</c:v>
              </c:pt>
              <c:pt idx="9">
                <c:v>#N/A</c:v>
              </c:pt>
              <c:pt idx="10">
                <c:v>0.71014022321466386</c:v>
              </c:pt>
            </c:numLit>
          </c:val>
          <c:extLst>
            <c:ext xmlns:c16="http://schemas.microsoft.com/office/drawing/2014/chart" uri="{C3380CC4-5D6E-409C-BE32-E72D297353CC}">
              <c16:uniqueId val="{00000016-0019-4FDF-9D12-6F82A3823A00}"/>
            </c:ext>
          </c:extLst>
        </c:ser>
        <c:dLbls>
          <c:showLegendKey val="0"/>
          <c:showVal val="0"/>
          <c:showCatName val="0"/>
          <c:showSerName val="0"/>
          <c:showPercent val="0"/>
          <c:showBubbleSize val="0"/>
          <c:showLeaderLines val="1"/>
        </c:dLbls>
        <c:firstSliceAng val="0"/>
        <c:holeSize val="64"/>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DGhelper!$C$1</c:f>
              <c:strCache>
                <c:ptCount val="1"/>
                <c:pt idx="0">
                  <c:v>component 1</c:v>
                </c:pt>
              </c:strCache>
            </c:strRef>
          </c:tx>
          <c:spPr>
            <a:solidFill>
              <a:srgbClr val="33CDC6"/>
            </a:solidFill>
            <a:ln>
              <a:noFill/>
            </a:ln>
            <a:effectLst/>
          </c:spPr>
          <c:invertIfNegative val="0"/>
          <c:cat>
            <c:strRef>
              <c:f>(DGhelper!$A$3,DGhelper!$A$7,DGhelper!$A$11,DGhelper!$A$15,DGhelper!$A$19,DGhelper!$A$23,DGhelper!$A$27,DGhelper!$A$31)</c:f>
              <c:strCache>
                <c:ptCount val="8"/>
                <c:pt idx="0">
                  <c:v>Climate change</c:v>
                </c:pt>
                <c:pt idx="1">
                  <c:v>Photochemical ozone formation</c:v>
                </c:pt>
                <c:pt idx="2">
                  <c:v>Particulate matter</c:v>
                </c:pt>
                <c:pt idx="3">
                  <c:v>Acidification</c:v>
                </c:pt>
                <c:pt idx="4">
                  <c:v>Eutrophication, freshwater</c:v>
                </c:pt>
                <c:pt idx="5">
                  <c:v>Water use</c:v>
                </c:pt>
                <c:pt idx="6">
                  <c:v>Resource use, fossil</c:v>
                </c:pt>
                <c:pt idx="7">
                  <c:v>Resource use, minerals and metals</c:v>
                </c:pt>
              </c:strCache>
            </c:strRef>
          </c:cat>
          <c:val>
            <c:numRef>
              <c:f>(DGhelper!$C$4,DGhelper!$C$8,DGhelper!$C$12,DGhelper!$C$16,DGhelper!$C$20,DGhelper!$C$24,DGhelper!$C$28,DGhelper!$C$32)</c:f>
              <c:numCache>
                <c:formatCode>0%</c:formatCode>
                <c:ptCount val="8"/>
                <c:pt idx="0">
                  <c:v>0.80558486232253701</c:v>
                </c:pt>
                <c:pt idx="1">
                  <c:v>8.3194546985392286E-4</c:v>
                </c:pt>
                <c:pt idx="2">
                  <c:v>2.8495164366197801E-2</c:v>
                </c:pt>
                <c:pt idx="3">
                  <c:v>1.0783898425976471E-2</c:v>
                </c:pt>
                <c:pt idx="4">
                  <c:v>0.88882669398568515</c:v>
                </c:pt>
                <c:pt idx="5">
                  <c:v>0.6965297447347818</c:v>
                </c:pt>
                <c:pt idx="6">
                  <c:v>4.6029296155978269E-2</c:v>
                </c:pt>
                <c:pt idx="7">
                  <c:v>3.5333848415074628E-2</c:v>
                </c:pt>
              </c:numCache>
            </c:numRef>
          </c:val>
          <c:extLst>
            <c:ext xmlns:c16="http://schemas.microsoft.com/office/drawing/2014/chart" uri="{C3380CC4-5D6E-409C-BE32-E72D297353CC}">
              <c16:uniqueId val="{00000000-64E4-42DD-B120-BA75967F34FC}"/>
            </c:ext>
          </c:extLst>
        </c:ser>
        <c:ser>
          <c:idx val="1"/>
          <c:order val="1"/>
          <c:tx>
            <c:strRef>
              <c:f>DGhelper!$D$1</c:f>
              <c:strCache>
                <c:ptCount val="1"/>
                <c:pt idx="0">
                  <c:v>component 2</c:v>
                </c:pt>
              </c:strCache>
            </c:strRef>
          </c:tx>
          <c:spPr>
            <a:solidFill>
              <a:schemeClr val="accent5">
                <a:lumMod val="60000"/>
                <a:lumOff val="40000"/>
              </a:schemeClr>
            </a:solidFill>
            <a:ln>
              <a:noFill/>
            </a:ln>
            <a:effectLst/>
          </c:spPr>
          <c:invertIfNegative val="0"/>
          <c:cat>
            <c:strRef>
              <c:f>(DGhelper!$A$3,DGhelper!$A$7,DGhelper!$A$11,DGhelper!$A$15,DGhelper!$A$19,DGhelper!$A$23,DGhelper!$A$27,DGhelper!$A$31)</c:f>
              <c:strCache>
                <c:ptCount val="8"/>
                <c:pt idx="0">
                  <c:v>Climate change</c:v>
                </c:pt>
                <c:pt idx="1">
                  <c:v>Photochemical ozone formation</c:v>
                </c:pt>
                <c:pt idx="2">
                  <c:v>Particulate matter</c:v>
                </c:pt>
                <c:pt idx="3">
                  <c:v>Acidification</c:v>
                </c:pt>
                <c:pt idx="4">
                  <c:v>Eutrophication, freshwater</c:v>
                </c:pt>
                <c:pt idx="5">
                  <c:v>Water use</c:v>
                </c:pt>
                <c:pt idx="6">
                  <c:v>Resource use, fossil</c:v>
                </c:pt>
                <c:pt idx="7">
                  <c:v>Resource use, minerals and metals</c:v>
                </c:pt>
              </c:strCache>
            </c:strRef>
          </c:cat>
          <c:val>
            <c:numRef>
              <c:f>(DGhelper!$D$4,DGhelper!$D$8,DGhelper!$D$12,DGhelper!$D$16,DGhelper!$D$20,DGhelper!$D$24,DGhelper!$D$28,DGhelper!$D$32)</c:f>
              <c:numCache>
                <c:formatCode>0%</c:formatCode>
                <c:ptCount val="8"/>
                <c:pt idx="0">
                  <c:v>5.0931405273475061E-2</c:v>
                </c:pt>
                <c:pt idx="1">
                  <c:v>8.6344886608225041E-5</c:v>
                </c:pt>
                <c:pt idx="2">
                  <c:v>2.1877502241696481E-3</c:v>
                </c:pt>
                <c:pt idx="3">
                  <c:v>8.7043913590649936E-4</c:v>
                </c:pt>
                <c:pt idx="4">
                  <c:v>7.326698049288248E-2</c:v>
                </c:pt>
                <c:pt idx="5">
                  <c:v>6.3144719565991853E-2</c:v>
                </c:pt>
                <c:pt idx="6">
                  <c:v>3.2141708617969915E-3</c:v>
                </c:pt>
                <c:pt idx="7">
                  <c:v>2.6178046959158844E-3</c:v>
                </c:pt>
              </c:numCache>
            </c:numRef>
          </c:val>
          <c:extLst>
            <c:ext xmlns:c16="http://schemas.microsoft.com/office/drawing/2014/chart" uri="{C3380CC4-5D6E-409C-BE32-E72D297353CC}">
              <c16:uniqueId val="{00000001-64E4-42DD-B120-BA75967F34FC}"/>
            </c:ext>
          </c:extLst>
        </c:ser>
        <c:ser>
          <c:idx val="2"/>
          <c:order val="2"/>
          <c:tx>
            <c:strRef>
              <c:f>DGhelper!$E$1</c:f>
              <c:strCache>
                <c:ptCount val="1"/>
                <c:pt idx="0">
                  <c:v>component 3</c:v>
                </c:pt>
              </c:strCache>
            </c:strRef>
          </c:tx>
          <c:spPr>
            <a:solidFill>
              <a:schemeClr val="accent1">
                <a:lumMod val="60000"/>
                <a:lumOff val="40000"/>
              </a:schemeClr>
            </a:solidFill>
            <a:ln>
              <a:noFill/>
            </a:ln>
            <a:effectLst/>
          </c:spPr>
          <c:invertIfNegative val="0"/>
          <c:cat>
            <c:strRef>
              <c:f>(DGhelper!$A$3,DGhelper!$A$7,DGhelper!$A$11,DGhelper!$A$15,DGhelper!$A$19,DGhelper!$A$23,DGhelper!$A$27,DGhelper!$A$31)</c:f>
              <c:strCache>
                <c:ptCount val="8"/>
                <c:pt idx="0">
                  <c:v>Climate change</c:v>
                </c:pt>
                <c:pt idx="1">
                  <c:v>Photochemical ozone formation</c:v>
                </c:pt>
                <c:pt idx="2">
                  <c:v>Particulate matter</c:v>
                </c:pt>
                <c:pt idx="3">
                  <c:v>Acidification</c:v>
                </c:pt>
                <c:pt idx="4">
                  <c:v>Eutrophication, freshwater</c:v>
                </c:pt>
                <c:pt idx="5">
                  <c:v>Water use</c:v>
                </c:pt>
                <c:pt idx="6">
                  <c:v>Resource use, fossil</c:v>
                </c:pt>
                <c:pt idx="7">
                  <c:v>Resource use, minerals and metals</c:v>
                </c:pt>
              </c:strCache>
            </c:strRef>
          </c:cat>
          <c:val>
            <c:numRef>
              <c:f>(DGhelper!$E$4,DGhelper!$E$8,DGhelper!$E$12,DGhelper!$E$16,DGhelper!$E$20,DGhelper!$E$24,DGhelper!$E$28,DGhelper!$E$32)</c:f>
              <c:numCache>
                <c:formatCode>0%</c:formatCode>
                <c:ptCount val="8"/>
                <c:pt idx="0">
                  <c:v>1.8843810535497919E-2</c:v>
                </c:pt>
                <c:pt idx="1">
                  <c:v>5.655070243557997E-5</c:v>
                </c:pt>
                <c:pt idx="2">
                  <c:v>1.1062952965533474E-3</c:v>
                </c:pt>
                <c:pt idx="3">
                  <c:v>4.3185284751495783E-4</c:v>
                </c:pt>
                <c:pt idx="4">
                  <c:v>3.7322426358080987E-2</c:v>
                </c:pt>
                <c:pt idx="5">
                  <c:v>2.3031432382369887E-2</c:v>
                </c:pt>
                <c:pt idx="6">
                  <c:v>1.089611444969354E-3</c:v>
                </c:pt>
                <c:pt idx="7">
                  <c:v>2.2096121799139597E-3</c:v>
                </c:pt>
              </c:numCache>
            </c:numRef>
          </c:val>
          <c:extLst>
            <c:ext xmlns:c16="http://schemas.microsoft.com/office/drawing/2014/chart" uri="{C3380CC4-5D6E-409C-BE32-E72D297353CC}">
              <c16:uniqueId val="{00000002-64E4-42DD-B120-BA75967F34FC}"/>
            </c:ext>
          </c:extLst>
        </c:ser>
        <c:ser>
          <c:idx val="3"/>
          <c:order val="3"/>
          <c:tx>
            <c:strRef>
              <c:f>DGhelper!$F$1</c:f>
              <c:strCache>
                <c:ptCount val="1"/>
                <c:pt idx="0">
                  <c:v>cleaning</c:v>
                </c:pt>
              </c:strCache>
            </c:strRef>
          </c:tx>
          <c:spPr>
            <a:solidFill>
              <a:srgbClr val="FFFF99"/>
            </a:solidFill>
            <a:ln>
              <a:noFill/>
            </a:ln>
            <a:effectLst/>
          </c:spPr>
          <c:invertIfNegative val="0"/>
          <c:cat>
            <c:strRef>
              <c:f>(DGhelper!$A$3,DGhelper!$A$7,DGhelper!$A$11,DGhelper!$A$15,DGhelper!$A$19,DGhelper!$A$23,DGhelper!$A$27,DGhelper!$A$31)</c:f>
              <c:strCache>
                <c:ptCount val="8"/>
                <c:pt idx="0">
                  <c:v>Climate change</c:v>
                </c:pt>
                <c:pt idx="1">
                  <c:v>Photochemical ozone formation</c:v>
                </c:pt>
                <c:pt idx="2">
                  <c:v>Particulate matter</c:v>
                </c:pt>
                <c:pt idx="3">
                  <c:v>Acidification</c:v>
                </c:pt>
                <c:pt idx="4">
                  <c:v>Eutrophication, freshwater</c:v>
                </c:pt>
                <c:pt idx="5">
                  <c:v>Water use</c:v>
                </c:pt>
                <c:pt idx="6">
                  <c:v>Resource use, fossil</c:v>
                </c:pt>
                <c:pt idx="7">
                  <c:v>Resource use, minerals and metals</c:v>
                </c:pt>
              </c:strCache>
            </c:strRef>
          </c:cat>
          <c:val>
            <c:numRef>
              <c:f>(DGhelper!$F$4,DGhelper!$F$8,DGhelper!$F$12,DGhelper!$F$16,DGhelper!$F$20,DGhelper!$F$24,DGhelper!$F$28,DGhelper!$F$32)</c:f>
              <c:numCache>
                <c:formatCode>0%</c:formatCode>
                <c:ptCount val="8"/>
                <c:pt idx="0">
                  <c:v>0.12463992186849</c:v>
                </c:pt>
                <c:pt idx="1">
                  <c:v>0.99902515894110233</c:v>
                </c:pt>
                <c:pt idx="2">
                  <c:v>0.9682107901130792</c:v>
                </c:pt>
                <c:pt idx="3">
                  <c:v>0.98791380959060204</c:v>
                </c:pt>
                <c:pt idx="4">
                  <c:v>5.8389916335132794E-4</c:v>
                </c:pt>
                <c:pt idx="5">
                  <c:v>0.21729410331685645</c:v>
                </c:pt>
                <c:pt idx="6">
                  <c:v>0.9496669215372554</c:v>
                </c:pt>
                <c:pt idx="7">
                  <c:v>0.95983873470909553</c:v>
                </c:pt>
              </c:numCache>
            </c:numRef>
          </c:val>
          <c:extLst>
            <c:ext xmlns:c16="http://schemas.microsoft.com/office/drawing/2014/chart" uri="{C3380CC4-5D6E-409C-BE32-E72D297353CC}">
              <c16:uniqueId val="{00000003-64E4-42DD-B120-BA75967F34FC}"/>
            </c:ext>
          </c:extLst>
        </c:ser>
        <c:dLbls>
          <c:showLegendKey val="0"/>
          <c:showVal val="0"/>
          <c:showCatName val="0"/>
          <c:showSerName val="0"/>
          <c:showPercent val="0"/>
          <c:showBubbleSize val="0"/>
        </c:dLbls>
        <c:gapWidth val="150"/>
        <c:overlap val="100"/>
        <c:axId val="818685888"/>
        <c:axId val="818686848"/>
      </c:barChart>
      <c:catAx>
        <c:axId val="8186858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818686848"/>
        <c:crosses val="autoZero"/>
        <c:auto val="1"/>
        <c:lblAlgn val="ctr"/>
        <c:lblOffset val="100"/>
        <c:noMultiLvlLbl val="0"/>
      </c:catAx>
      <c:valAx>
        <c:axId val="818686848"/>
        <c:scaling>
          <c:orientation val="minMax"/>
        </c:scaling>
        <c:delete val="0"/>
        <c:axPos val="l"/>
        <c:majorGridlines>
          <c:spPr>
            <a:ln w="3175" cap="flat" cmpd="sng" algn="ctr">
              <a:solidFill>
                <a:schemeClr val="bg1">
                  <a:lumMod val="65000"/>
                  <a:alpha val="81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818685888"/>
        <c:crosses val="autoZero"/>
        <c:crossBetween val="between"/>
      </c:valAx>
      <c:spPr>
        <a:solidFill>
          <a:srgbClr val="565C76"/>
        </a:solidFill>
        <a:ln>
          <a:noFill/>
        </a:ln>
        <a:effectLst/>
      </c:spPr>
    </c:plotArea>
    <c:legend>
      <c:legendPos val="r"/>
      <c:layout>
        <c:manualLayout>
          <c:xMode val="edge"/>
          <c:yMode val="edge"/>
          <c:x val="0.8952066471570046"/>
          <c:y val="0.39914596799216373"/>
          <c:w val="0.10159408398928842"/>
          <c:h val="0.2854984080346554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565C76"/>
    </a:solidFill>
    <a:ln w="9525" cap="flat" cmpd="sng" algn="ctr">
      <a:noFill/>
      <a:round/>
    </a:ln>
    <a:effectLst/>
  </c:spPr>
  <c:txPr>
    <a:bodyPr/>
    <a:lstStyle/>
    <a:p>
      <a:pPr>
        <a:defRPr>
          <a:solidFill>
            <a:schemeClr val="bg1"/>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3466235332036"/>
          <c:y val="1.9705931640588634E-2"/>
          <c:w val="0.75417029759702026"/>
          <c:h val="0.98029406835941124"/>
        </c:manualLayout>
      </c:layout>
      <c:doughnutChart>
        <c:varyColors val="1"/>
        <c:ser>
          <c:idx val="0"/>
          <c:order val="0"/>
          <c:spPr>
            <a:solidFill>
              <a:schemeClr val="accent1"/>
            </a:solidFill>
            <a:ln w="6350">
              <a:solidFill>
                <a:schemeClr val="tx1"/>
              </a:solidFill>
            </a:ln>
          </c:spPr>
          <c:dPt>
            <c:idx val="0"/>
            <c:bubble3D val="0"/>
            <c:spPr>
              <a:solidFill>
                <a:srgbClr val="00B050"/>
              </a:solidFill>
              <a:ln w="6350">
                <a:solidFill>
                  <a:schemeClr val="tx1"/>
                </a:solidFill>
              </a:ln>
              <a:effectLst/>
            </c:spPr>
            <c:extLst>
              <c:ext xmlns:c16="http://schemas.microsoft.com/office/drawing/2014/chart" uri="{C3380CC4-5D6E-409C-BE32-E72D297353CC}">
                <c16:uniqueId val="{00000002-AC2C-407B-97BE-95262DE33C81}"/>
              </c:ext>
            </c:extLst>
          </c:dPt>
          <c:dPt>
            <c:idx val="1"/>
            <c:bubble3D val="0"/>
            <c:spPr>
              <a:solidFill>
                <a:schemeClr val="bg1"/>
              </a:solidFill>
              <a:ln w="6350">
                <a:solidFill>
                  <a:schemeClr val="tx1"/>
                </a:solidFill>
              </a:ln>
              <a:effectLst/>
            </c:spPr>
            <c:extLst>
              <c:ext xmlns:c16="http://schemas.microsoft.com/office/drawing/2014/chart" uri="{C3380CC4-5D6E-409C-BE32-E72D297353CC}">
                <c16:uniqueId val="{00000001-AC2C-407B-97BE-95262DE33C81}"/>
              </c:ext>
            </c:extLst>
          </c:dPt>
          <c:val>
            <c:numRef>
              <c:f>'Output - Results'!$C$14:$C$15</c:f>
              <c:numCache>
                <c:formatCode>0.00</c:formatCode>
                <c:ptCount val="2"/>
                <c:pt idx="0">
                  <c:v>0.11805555555555555</c:v>
                </c:pt>
                <c:pt idx="1">
                  <c:v>0.88194444444444442</c:v>
                </c:pt>
              </c:numCache>
            </c:numRef>
          </c:val>
          <c:extLst>
            <c:ext xmlns:c16="http://schemas.microsoft.com/office/drawing/2014/chart" uri="{C3380CC4-5D6E-409C-BE32-E72D297353CC}">
              <c16:uniqueId val="{00000000-AC2C-407B-97BE-95262DE33C81}"/>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DGhelper!$C$1</c:f>
              <c:strCache>
                <c:ptCount val="1"/>
                <c:pt idx="0">
                  <c:v>component 1</c:v>
                </c:pt>
              </c:strCache>
            </c:strRef>
          </c:tx>
          <c:spPr>
            <a:solidFill>
              <a:schemeClr val="accent1"/>
            </a:solidFill>
            <a:ln>
              <a:noFill/>
            </a:ln>
            <a:effectLst/>
          </c:spPr>
          <c:invertIfNegative val="0"/>
          <c:cat>
            <c:strRef>
              <c:f>(DGhelper!$A$3,DGhelper!$A$7,DGhelper!$A$11,DGhelper!$A$15,DGhelper!$A$19,DGhelper!$A$23,DGhelper!$A$27,DGhelper!$A$31)</c:f>
              <c:strCache>
                <c:ptCount val="8"/>
                <c:pt idx="0">
                  <c:v>Climate change</c:v>
                </c:pt>
                <c:pt idx="1">
                  <c:v>Photochemical ozone formation</c:v>
                </c:pt>
                <c:pt idx="2">
                  <c:v>Particulate matter</c:v>
                </c:pt>
                <c:pt idx="3">
                  <c:v>Acidification</c:v>
                </c:pt>
                <c:pt idx="4">
                  <c:v>Eutrophication, freshwater</c:v>
                </c:pt>
                <c:pt idx="5">
                  <c:v>Water use</c:v>
                </c:pt>
                <c:pt idx="6">
                  <c:v>Resource use, fossil</c:v>
                </c:pt>
                <c:pt idx="7">
                  <c:v>Resource use, minerals and metals</c:v>
                </c:pt>
              </c:strCache>
            </c:strRef>
          </c:cat>
          <c:val>
            <c:numRef>
              <c:f>(DGhelper!$C$4,DGhelper!$C$8,DGhelper!$C$12,DGhelper!$C$16,DGhelper!$C$20,DGhelper!$C$24,DGhelper!$C$28,DGhelper!$C$32)</c:f>
              <c:numCache>
                <c:formatCode>0%</c:formatCode>
                <c:ptCount val="8"/>
                <c:pt idx="0">
                  <c:v>0.80558486232253701</c:v>
                </c:pt>
                <c:pt idx="1">
                  <c:v>8.3194546985392286E-4</c:v>
                </c:pt>
                <c:pt idx="2">
                  <c:v>2.8495164366197801E-2</c:v>
                </c:pt>
                <c:pt idx="3">
                  <c:v>1.0783898425976471E-2</c:v>
                </c:pt>
                <c:pt idx="4">
                  <c:v>0.88882669398568515</c:v>
                </c:pt>
                <c:pt idx="5">
                  <c:v>0.6965297447347818</c:v>
                </c:pt>
                <c:pt idx="6">
                  <c:v>4.6029296155978269E-2</c:v>
                </c:pt>
                <c:pt idx="7">
                  <c:v>3.5333848415074628E-2</c:v>
                </c:pt>
              </c:numCache>
            </c:numRef>
          </c:val>
          <c:extLst>
            <c:ext xmlns:c16="http://schemas.microsoft.com/office/drawing/2014/chart" uri="{C3380CC4-5D6E-409C-BE32-E72D297353CC}">
              <c16:uniqueId val="{00000000-1BCC-4D5D-ADF6-072AB5728CED}"/>
            </c:ext>
          </c:extLst>
        </c:ser>
        <c:ser>
          <c:idx val="1"/>
          <c:order val="1"/>
          <c:tx>
            <c:strRef>
              <c:f>DGhelper!$D$1</c:f>
              <c:strCache>
                <c:ptCount val="1"/>
                <c:pt idx="0">
                  <c:v>component 2</c:v>
                </c:pt>
              </c:strCache>
            </c:strRef>
          </c:tx>
          <c:spPr>
            <a:solidFill>
              <a:schemeClr val="accent2"/>
            </a:solidFill>
            <a:ln>
              <a:noFill/>
            </a:ln>
            <a:effectLst/>
          </c:spPr>
          <c:invertIfNegative val="0"/>
          <c:cat>
            <c:strRef>
              <c:f>(DGhelper!$A$3,DGhelper!$A$7,DGhelper!$A$11,DGhelper!$A$15,DGhelper!$A$19,DGhelper!$A$23,DGhelper!$A$27,DGhelper!$A$31)</c:f>
              <c:strCache>
                <c:ptCount val="8"/>
                <c:pt idx="0">
                  <c:v>Climate change</c:v>
                </c:pt>
                <c:pt idx="1">
                  <c:v>Photochemical ozone formation</c:v>
                </c:pt>
                <c:pt idx="2">
                  <c:v>Particulate matter</c:v>
                </c:pt>
                <c:pt idx="3">
                  <c:v>Acidification</c:v>
                </c:pt>
                <c:pt idx="4">
                  <c:v>Eutrophication, freshwater</c:v>
                </c:pt>
                <c:pt idx="5">
                  <c:v>Water use</c:v>
                </c:pt>
                <c:pt idx="6">
                  <c:v>Resource use, fossil</c:v>
                </c:pt>
                <c:pt idx="7">
                  <c:v>Resource use, minerals and metals</c:v>
                </c:pt>
              </c:strCache>
            </c:strRef>
          </c:cat>
          <c:val>
            <c:numRef>
              <c:f>(DGhelper!$D$4,DGhelper!$D$8,DGhelper!$D$12,DGhelper!$D$16,DGhelper!$D$20,DGhelper!$D$24,DGhelper!$D$28,DGhelper!$D$32)</c:f>
              <c:numCache>
                <c:formatCode>0%</c:formatCode>
                <c:ptCount val="8"/>
                <c:pt idx="0">
                  <c:v>5.0931405273475061E-2</c:v>
                </c:pt>
                <c:pt idx="1">
                  <c:v>8.6344886608225041E-5</c:v>
                </c:pt>
                <c:pt idx="2">
                  <c:v>2.1877502241696481E-3</c:v>
                </c:pt>
                <c:pt idx="3">
                  <c:v>8.7043913590649936E-4</c:v>
                </c:pt>
                <c:pt idx="4">
                  <c:v>7.326698049288248E-2</c:v>
                </c:pt>
                <c:pt idx="5">
                  <c:v>6.3144719565991853E-2</c:v>
                </c:pt>
                <c:pt idx="6">
                  <c:v>3.2141708617969915E-3</c:v>
                </c:pt>
                <c:pt idx="7">
                  <c:v>2.6178046959158844E-3</c:v>
                </c:pt>
              </c:numCache>
            </c:numRef>
          </c:val>
          <c:extLst>
            <c:ext xmlns:c16="http://schemas.microsoft.com/office/drawing/2014/chart" uri="{C3380CC4-5D6E-409C-BE32-E72D297353CC}">
              <c16:uniqueId val="{00000001-1BCC-4D5D-ADF6-072AB5728CED}"/>
            </c:ext>
          </c:extLst>
        </c:ser>
        <c:ser>
          <c:idx val="2"/>
          <c:order val="2"/>
          <c:tx>
            <c:strRef>
              <c:f>DGhelper!$E$1</c:f>
              <c:strCache>
                <c:ptCount val="1"/>
                <c:pt idx="0">
                  <c:v>component 3</c:v>
                </c:pt>
              </c:strCache>
            </c:strRef>
          </c:tx>
          <c:spPr>
            <a:solidFill>
              <a:schemeClr val="accent3"/>
            </a:solidFill>
            <a:ln>
              <a:noFill/>
            </a:ln>
            <a:effectLst/>
          </c:spPr>
          <c:invertIfNegative val="0"/>
          <c:cat>
            <c:strRef>
              <c:f>(DGhelper!$A$3,DGhelper!$A$7,DGhelper!$A$11,DGhelper!$A$15,DGhelper!$A$19,DGhelper!$A$23,DGhelper!$A$27,DGhelper!$A$31)</c:f>
              <c:strCache>
                <c:ptCount val="8"/>
                <c:pt idx="0">
                  <c:v>Climate change</c:v>
                </c:pt>
                <c:pt idx="1">
                  <c:v>Photochemical ozone formation</c:v>
                </c:pt>
                <c:pt idx="2">
                  <c:v>Particulate matter</c:v>
                </c:pt>
                <c:pt idx="3">
                  <c:v>Acidification</c:v>
                </c:pt>
                <c:pt idx="4">
                  <c:v>Eutrophication, freshwater</c:v>
                </c:pt>
                <c:pt idx="5">
                  <c:v>Water use</c:v>
                </c:pt>
                <c:pt idx="6">
                  <c:v>Resource use, fossil</c:v>
                </c:pt>
                <c:pt idx="7">
                  <c:v>Resource use, minerals and metals</c:v>
                </c:pt>
              </c:strCache>
            </c:strRef>
          </c:cat>
          <c:val>
            <c:numRef>
              <c:f>(DGhelper!$E$4,DGhelper!$E$8,DGhelper!$E$12,DGhelper!$E$16,DGhelper!$E$20,DGhelper!$E$24,DGhelper!$E$28,DGhelper!$E$32)</c:f>
              <c:numCache>
                <c:formatCode>0%</c:formatCode>
                <c:ptCount val="8"/>
                <c:pt idx="0">
                  <c:v>1.8843810535497919E-2</c:v>
                </c:pt>
                <c:pt idx="1">
                  <c:v>5.655070243557997E-5</c:v>
                </c:pt>
                <c:pt idx="2">
                  <c:v>1.1062952965533474E-3</c:v>
                </c:pt>
                <c:pt idx="3">
                  <c:v>4.3185284751495783E-4</c:v>
                </c:pt>
                <c:pt idx="4">
                  <c:v>3.7322426358080987E-2</c:v>
                </c:pt>
                <c:pt idx="5">
                  <c:v>2.3031432382369887E-2</c:v>
                </c:pt>
                <c:pt idx="6">
                  <c:v>1.089611444969354E-3</c:v>
                </c:pt>
                <c:pt idx="7">
                  <c:v>2.2096121799139597E-3</c:v>
                </c:pt>
              </c:numCache>
            </c:numRef>
          </c:val>
          <c:extLst>
            <c:ext xmlns:c16="http://schemas.microsoft.com/office/drawing/2014/chart" uri="{C3380CC4-5D6E-409C-BE32-E72D297353CC}">
              <c16:uniqueId val="{00000002-1BCC-4D5D-ADF6-072AB5728CED}"/>
            </c:ext>
          </c:extLst>
        </c:ser>
        <c:ser>
          <c:idx val="3"/>
          <c:order val="3"/>
          <c:tx>
            <c:strRef>
              <c:f>DGhelper!$F$1</c:f>
              <c:strCache>
                <c:ptCount val="1"/>
                <c:pt idx="0">
                  <c:v>cleaning</c:v>
                </c:pt>
              </c:strCache>
            </c:strRef>
          </c:tx>
          <c:spPr>
            <a:solidFill>
              <a:schemeClr val="accent4"/>
            </a:solidFill>
            <a:ln>
              <a:noFill/>
            </a:ln>
            <a:effectLst/>
          </c:spPr>
          <c:invertIfNegative val="0"/>
          <c:cat>
            <c:strRef>
              <c:f>(DGhelper!$A$3,DGhelper!$A$7,DGhelper!$A$11,DGhelper!$A$15,DGhelper!$A$19,DGhelper!$A$23,DGhelper!$A$27,DGhelper!$A$31)</c:f>
              <c:strCache>
                <c:ptCount val="8"/>
                <c:pt idx="0">
                  <c:v>Climate change</c:v>
                </c:pt>
                <c:pt idx="1">
                  <c:v>Photochemical ozone formation</c:v>
                </c:pt>
                <c:pt idx="2">
                  <c:v>Particulate matter</c:v>
                </c:pt>
                <c:pt idx="3">
                  <c:v>Acidification</c:v>
                </c:pt>
                <c:pt idx="4">
                  <c:v>Eutrophication, freshwater</c:v>
                </c:pt>
                <c:pt idx="5">
                  <c:v>Water use</c:v>
                </c:pt>
                <c:pt idx="6">
                  <c:v>Resource use, fossil</c:v>
                </c:pt>
                <c:pt idx="7">
                  <c:v>Resource use, minerals and metals</c:v>
                </c:pt>
              </c:strCache>
            </c:strRef>
          </c:cat>
          <c:val>
            <c:numRef>
              <c:f>(DGhelper!$F$4,DGhelper!$F$8,DGhelper!$F$12,DGhelper!$F$16,DGhelper!$F$20,DGhelper!$F$24,DGhelper!$F$28,DGhelper!$F$32)</c:f>
              <c:numCache>
                <c:formatCode>0%</c:formatCode>
                <c:ptCount val="8"/>
                <c:pt idx="0">
                  <c:v>0.12463992186849</c:v>
                </c:pt>
                <c:pt idx="1">
                  <c:v>0.99902515894110233</c:v>
                </c:pt>
                <c:pt idx="2">
                  <c:v>0.9682107901130792</c:v>
                </c:pt>
                <c:pt idx="3">
                  <c:v>0.98791380959060204</c:v>
                </c:pt>
                <c:pt idx="4">
                  <c:v>5.8389916335132794E-4</c:v>
                </c:pt>
                <c:pt idx="5">
                  <c:v>0.21729410331685645</c:v>
                </c:pt>
                <c:pt idx="6">
                  <c:v>0.9496669215372554</c:v>
                </c:pt>
                <c:pt idx="7">
                  <c:v>0.95983873470909553</c:v>
                </c:pt>
              </c:numCache>
            </c:numRef>
          </c:val>
          <c:extLst>
            <c:ext xmlns:c16="http://schemas.microsoft.com/office/drawing/2014/chart" uri="{C3380CC4-5D6E-409C-BE32-E72D297353CC}">
              <c16:uniqueId val="{00000003-1BCC-4D5D-ADF6-072AB5728CED}"/>
            </c:ext>
          </c:extLst>
        </c:ser>
        <c:dLbls>
          <c:showLegendKey val="0"/>
          <c:showVal val="0"/>
          <c:showCatName val="0"/>
          <c:showSerName val="0"/>
          <c:showPercent val="0"/>
          <c:showBubbleSize val="0"/>
        </c:dLbls>
        <c:gapWidth val="150"/>
        <c:overlap val="100"/>
        <c:axId val="818685888"/>
        <c:axId val="818686848"/>
      </c:barChart>
      <c:catAx>
        <c:axId val="81868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8686848"/>
        <c:crosses val="autoZero"/>
        <c:auto val="1"/>
        <c:lblAlgn val="ctr"/>
        <c:lblOffset val="100"/>
        <c:noMultiLvlLbl val="0"/>
      </c:catAx>
      <c:valAx>
        <c:axId val="81868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86858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33466235332036"/>
          <c:y val="1.9705931640588634E-2"/>
          <c:w val="0.75417029759702026"/>
          <c:h val="0.98029406835941124"/>
        </c:manualLayout>
      </c:layout>
      <c:doughnutChart>
        <c:varyColors val="1"/>
        <c:ser>
          <c:idx val="0"/>
          <c:order val="0"/>
          <c:spPr>
            <a:solidFill>
              <a:schemeClr val="accent1"/>
            </a:solidFill>
            <a:ln w="6350">
              <a:solidFill>
                <a:schemeClr val="tx1"/>
              </a:solidFill>
            </a:ln>
          </c:spPr>
          <c:dPt>
            <c:idx val="0"/>
            <c:bubble3D val="0"/>
            <c:spPr>
              <a:solidFill>
                <a:srgbClr val="00B050"/>
              </a:solidFill>
              <a:ln w="6350">
                <a:solidFill>
                  <a:schemeClr val="tx1"/>
                </a:solidFill>
              </a:ln>
              <a:effectLst/>
            </c:spPr>
            <c:extLst>
              <c:ext xmlns:c16="http://schemas.microsoft.com/office/drawing/2014/chart" uri="{C3380CC4-5D6E-409C-BE32-E72D297353CC}">
                <c16:uniqueId val="{00000002-AC2C-407B-97BE-95262DE33C81}"/>
              </c:ext>
            </c:extLst>
          </c:dPt>
          <c:dPt>
            <c:idx val="1"/>
            <c:bubble3D val="0"/>
            <c:spPr>
              <a:solidFill>
                <a:srgbClr val="FF0000"/>
              </a:solidFill>
              <a:ln w="6350">
                <a:solidFill>
                  <a:schemeClr val="tx1"/>
                </a:solidFill>
              </a:ln>
              <a:effectLst/>
            </c:spPr>
            <c:extLst>
              <c:ext xmlns:c16="http://schemas.microsoft.com/office/drawing/2014/chart" uri="{C3380CC4-5D6E-409C-BE32-E72D297353CC}">
                <c16:uniqueId val="{00000001-AC2C-407B-97BE-95262DE33C81}"/>
              </c:ext>
            </c:extLst>
          </c:dPt>
          <c:val>
            <c:numRef>
              <c:f>'Output - Results'!$C$8:$C$9</c:f>
              <c:numCache>
                <c:formatCode>0.00</c:formatCode>
                <c:ptCount val="2"/>
                <c:pt idx="0">
                  <c:v>0.98776031568877554</c:v>
                </c:pt>
                <c:pt idx="1">
                  <c:v>1.2239684311224464E-2</c:v>
                </c:pt>
              </c:numCache>
            </c:numRef>
          </c:val>
          <c:extLst>
            <c:ext xmlns:c16="http://schemas.microsoft.com/office/drawing/2014/chart" uri="{C3380CC4-5D6E-409C-BE32-E72D297353CC}">
              <c16:uniqueId val="{00000000-AC2C-407B-97BE-95262DE33C81}"/>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33466235332036"/>
          <c:y val="1.9705931640588634E-2"/>
          <c:w val="0.75417029759702026"/>
          <c:h val="0.98029406835941124"/>
        </c:manualLayout>
      </c:layout>
      <c:doughnutChart>
        <c:varyColors val="1"/>
        <c:ser>
          <c:idx val="0"/>
          <c:order val="0"/>
          <c:spPr>
            <a:solidFill>
              <a:schemeClr val="accent1"/>
            </a:solidFill>
            <a:ln w="6350">
              <a:solidFill>
                <a:schemeClr val="tx1"/>
              </a:solidFill>
            </a:ln>
          </c:spPr>
          <c:dPt>
            <c:idx val="0"/>
            <c:bubble3D val="0"/>
            <c:spPr>
              <a:solidFill>
                <a:srgbClr val="00B050"/>
              </a:solidFill>
              <a:ln w="6350">
                <a:solidFill>
                  <a:schemeClr val="tx1"/>
                </a:solidFill>
              </a:ln>
              <a:effectLst/>
            </c:spPr>
            <c:extLst>
              <c:ext xmlns:c16="http://schemas.microsoft.com/office/drawing/2014/chart" uri="{C3380CC4-5D6E-409C-BE32-E72D297353CC}">
                <c16:uniqueId val="{00000002-AC2C-407B-97BE-95262DE33C81}"/>
              </c:ext>
            </c:extLst>
          </c:dPt>
          <c:dPt>
            <c:idx val="1"/>
            <c:bubble3D val="0"/>
            <c:spPr>
              <a:solidFill>
                <a:srgbClr val="FF0000"/>
              </a:solidFill>
              <a:ln w="6350">
                <a:solidFill>
                  <a:schemeClr val="tx1"/>
                </a:solidFill>
              </a:ln>
              <a:effectLst/>
            </c:spPr>
            <c:extLst>
              <c:ext xmlns:c16="http://schemas.microsoft.com/office/drawing/2014/chart" uri="{C3380CC4-5D6E-409C-BE32-E72D297353CC}">
                <c16:uniqueId val="{00000001-AC2C-407B-97BE-95262DE33C81}"/>
              </c:ext>
            </c:extLst>
          </c:dPt>
          <c:val>
            <c:numRef>
              <c:f>'Output - Results'!$C$10:$C$11</c:f>
              <c:numCache>
                <c:formatCode>0.00</c:formatCode>
                <c:ptCount val="2"/>
                <c:pt idx="0">
                  <c:v>0.2</c:v>
                </c:pt>
                <c:pt idx="1">
                  <c:v>0.8</c:v>
                </c:pt>
              </c:numCache>
            </c:numRef>
          </c:val>
          <c:extLst>
            <c:ext xmlns:c16="http://schemas.microsoft.com/office/drawing/2014/chart" uri="{C3380CC4-5D6E-409C-BE32-E72D297353CC}">
              <c16:uniqueId val="{00000000-AC2C-407B-97BE-95262DE33C81}"/>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33466235332036"/>
          <c:y val="1.9705931640588634E-2"/>
          <c:w val="0.75417029759702026"/>
          <c:h val="0.98029406835941124"/>
        </c:manualLayout>
      </c:layout>
      <c:doughnutChart>
        <c:varyColors val="1"/>
        <c:ser>
          <c:idx val="0"/>
          <c:order val="0"/>
          <c:spPr>
            <a:solidFill>
              <a:schemeClr val="accent1"/>
            </a:solidFill>
            <a:ln w="6350">
              <a:solidFill>
                <a:schemeClr val="tx1"/>
              </a:solidFill>
            </a:ln>
          </c:spPr>
          <c:dPt>
            <c:idx val="0"/>
            <c:bubble3D val="0"/>
            <c:spPr>
              <a:solidFill>
                <a:srgbClr val="00B050"/>
              </a:solidFill>
              <a:ln w="6350">
                <a:solidFill>
                  <a:schemeClr val="tx1"/>
                </a:solidFill>
              </a:ln>
              <a:effectLst/>
            </c:spPr>
            <c:extLst>
              <c:ext xmlns:c16="http://schemas.microsoft.com/office/drawing/2014/chart" uri="{C3380CC4-5D6E-409C-BE32-E72D297353CC}">
                <c16:uniqueId val="{00000002-AC2C-407B-97BE-95262DE33C81}"/>
              </c:ext>
            </c:extLst>
          </c:dPt>
          <c:dPt>
            <c:idx val="1"/>
            <c:bubble3D val="0"/>
            <c:spPr>
              <a:solidFill>
                <a:srgbClr val="FF0000"/>
              </a:solidFill>
              <a:ln w="6350">
                <a:solidFill>
                  <a:schemeClr val="tx1"/>
                </a:solidFill>
              </a:ln>
              <a:effectLst/>
            </c:spPr>
            <c:extLst>
              <c:ext xmlns:c16="http://schemas.microsoft.com/office/drawing/2014/chart" uri="{C3380CC4-5D6E-409C-BE32-E72D297353CC}">
                <c16:uniqueId val="{00000001-AC2C-407B-97BE-95262DE33C81}"/>
              </c:ext>
            </c:extLst>
          </c:dPt>
          <c:val>
            <c:numRef>
              <c:f>'Output - Results'!$C$12:$C$13</c:f>
              <c:numCache>
                <c:formatCode>0.00</c:formatCode>
                <c:ptCount val="2"/>
                <c:pt idx="0">
                  <c:v>0.5</c:v>
                </c:pt>
                <c:pt idx="1">
                  <c:v>0.5</c:v>
                </c:pt>
              </c:numCache>
            </c:numRef>
          </c:val>
          <c:extLst>
            <c:ext xmlns:c16="http://schemas.microsoft.com/office/drawing/2014/chart" uri="{C3380CC4-5D6E-409C-BE32-E72D297353CC}">
              <c16:uniqueId val="{00000000-AC2C-407B-97BE-95262DE33C81}"/>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Results'!$A$16</c:f>
              <c:numCache>
                <c:formatCode>0</c:formatCode>
                <c:ptCount val="1"/>
                <c:pt idx="0">
                  <c:v>0</c:v>
                </c:pt>
              </c:numCache>
            </c:numRef>
          </c:val>
          <c:extLst>
            <c:ext xmlns:c16="http://schemas.microsoft.com/office/drawing/2014/chart" uri="{C3380CC4-5D6E-409C-BE32-E72D297353CC}">
              <c16:uniqueId val="{00000000-073D-4423-8B68-BED5D3136C7F}"/>
            </c:ext>
          </c:extLst>
        </c:ser>
        <c:ser>
          <c:idx val="1"/>
          <c:order val="1"/>
          <c:tx>
            <c:strRef>
              <c:f>'Output - Results'!$B$16</c:f>
              <c:strCache>
                <c:ptCount val="1"/>
                <c:pt idx="0">
                  <c:v>1</c:v>
                </c:pt>
              </c:strCache>
            </c:strRef>
          </c:tx>
          <c:spPr>
            <a:solidFill>
              <a:srgbClr val="00B050"/>
            </a:solidFill>
            <a:ln>
              <a:solidFill>
                <a:sysClr val="windowText" lastClr="000000"/>
              </a:solidFill>
            </a:ln>
            <a:effectLst/>
          </c:spPr>
          <c:invertIfNegative val="0"/>
          <c:dPt>
            <c:idx val="0"/>
            <c:invertIfNegative val="0"/>
            <c:bubble3D val="0"/>
            <c:extLst>
              <c:ext xmlns:c16="http://schemas.microsoft.com/office/drawing/2014/chart" uri="{C3380CC4-5D6E-409C-BE32-E72D297353CC}">
                <c16:uniqueId val="{00000002-CB16-4429-964B-500379FFB890}"/>
              </c:ext>
            </c:extLst>
          </c:dPt>
          <c:val>
            <c:numRef>
              <c:f>'Output - Results'!$B$16</c:f>
              <c:numCache>
                <c:formatCode>0</c:formatCode>
                <c:ptCount val="1"/>
                <c:pt idx="0">
                  <c:v>1</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Results'!$A$18</c:f>
              <c:numCache>
                <c:formatCode>0</c:formatCode>
                <c:ptCount val="1"/>
                <c:pt idx="0">
                  <c:v>0</c:v>
                </c:pt>
              </c:numCache>
            </c:numRef>
          </c:val>
          <c:extLst>
            <c:ext xmlns:c16="http://schemas.microsoft.com/office/drawing/2014/chart" uri="{C3380CC4-5D6E-409C-BE32-E72D297353CC}">
              <c16:uniqueId val="{00000000-073D-4423-8B68-BED5D3136C7F}"/>
            </c:ext>
          </c:extLst>
        </c:ser>
        <c:ser>
          <c:idx val="1"/>
          <c:order val="1"/>
          <c:tx>
            <c:strRef>
              <c:f>'Output - Results'!$B$16</c:f>
              <c:strCache>
                <c:ptCount val="1"/>
                <c:pt idx="0">
                  <c:v>1</c:v>
                </c:pt>
              </c:strCache>
            </c:strRef>
          </c:tx>
          <c:spPr>
            <a:solidFill>
              <a:srgbClr val="00B050"/>
            </a:solidFill>
            <a:ln>
              <a:noFill/>
            </a:ln>
            <a:effectLst/>
          </c:spPr>
          <c:invertIfNegative val="0"/>
          <c:dPt>
            <c:idx val="0"/>
            <c:invertIfNegative val="0"/>
            <c:bubble3D val="0"/>
            <c:spPr>
              <a:solidFill>
                <a:srgbClr val="00B050"/>
              </a:solidFill>
              <a:ln w="6350">
                <a:solidFill>
                  <a:srgbClr val="156082">
                    <a:shade val="15000"/>
                  </a:srgbClr>
                </a:solidFill>
              </a:ln>
              <a:effectLst/>
            </c:spPr>
            <c:extLst>
              <c:ext xmlns:c16="http://schemas.microsoft.com/office/drawing/2014/chart" uri="{C3380CC4-5D6E-409C-BE32-E72D297353CC}">
                <c16:uniqueId val="{00000009-A525-46EB-A80D-472FF44C01E9}"/>
              </c:ext>
            </c:extLst>
          </c:dPt>
          <c:val>
            <c:numRef>
              <c:f>'Output - Results'!$B$18</c:f>
              <c:numCache>
                <c:formatCode>0</c:formatCode>
                <c:ptCount val="1"/>
                <c:pt idx="0">
                  <c:v>1</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Results'!$A$20</c:f>
              <c:numCache>
                <c:formatCode>0</c:formatCode>
                <c:ptCount val="1"/>
                <c:pt idx="0">
                  <c:v>0</c:v>
                </c:pt>
              </c:numCache>
            </c:numRef>
          </c:val>
          <c:extLst>
            <c:ext xmlns:c16="http://schemas.microsoft.com/office/drawing/2014/chart" uri="{C3380CC4-5D6E-409C-BE32-E72D297353CC}">
              <c16:uniqueId val="{00000000-073D-4423-8B68-BED5D3136C7F}"/>
            </c:ext>
          </c:extLst>
        </c:ser>
        <c:ser>
          <c:idx val="1"/>
          <c:order val="1"/>
          <c:tx>
            <c:strRef>
              <c:f>'Output - Results'!$B$16</c:f>
              <c:strCache>
                <c:ptCount val="1"/>
                <c:pt idx="0">
                  <c:v>1</c:v>
                </c:pt>
              </c:strCache>
            </c:strRef>
          </c:tx>
          <c:spPr>
            <a:solidFill>
              <a:srgbClr val="00B050"/>
            </a:solidFill>
            <a:ln>
              <a:noFill/>
            </a:ln>
            <a:effectLst/>
          </c:spPr>
          <c:invertIfNegative val="0"/>
          <c:dPt>
            <c:idx val="0"/>
            <c:invertIfNegative val="0"/>
            <c:bubble3D val="0"/>
            <c:spPr>
              <a:solidFill>
                <a:srgbClr val="00B050"/>
              </a:solidFill>
              <a:ln w="6350">
                <a:solidFill>
                  <a:srgbClr val="156082">
                    <a:shade val="15000"/>
                  </a:srgbClr>
                </a:solidFill>
              </a:ln>
              <a:effectLst/>
            </c:spPr>
            <c:extLst>
              <c:ext xmlns:c16="http://schemas.microsoft.com/office/drawing/2014/chart" uri="{C3380CC4-5D6E-409C-BE32-E72D297353CC}">
                <c16:uniqueId val="{00000009-2061-47E8-9269-6AB3665C7882}"/>
              </c:ext>
            </c:extLst>
          </c:dPt>
          <c:val>
            <c:numRef>
              <c:f>'Output - Results'!$B$20</c:f>
              <c:numCache>
                <c:formatCode>0</c:formatCode>
                <c:ptCount val="1"/>
                <c:pt idx="0">
                  <c:v>1</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Results'!$A$30</c:f>
              <c:numCache>
                <c:formatCode>0</c:formatCode>
                <c:ptCount val="1"/>
                <c:pt idx="0">
                  <c:v>0</c:v>
                </c:pt>
              </c:numCache>
            </c:numRef>
          </c:val>
          <c:extLst>
            <c:ext xmlns:c16="http://schemas.microsoft.com/office/drawing/2014/chart" uri="{C3380CC4-5D6E-409C-BE32-E72D297353CC}">
              <c16:uniqueId val="{00000000-073D-4423-8B68-BED5D3136C7F}"/>
            </c:ext>
          </c:extLst>
        </c:ser>
        <c:ser>
          <c:idx val="1"/>
          <c:order val="1"/>
          <c:spPr>
            <a:solidFill>
              <a:srgbClr val="00B050"/>
            </a:solidFill>
            <a:ln>
              <a:solidFill>
                <a:sysClr val="windowText" lastClr="000000"/>
              </a:solidFill>
            </a:ln>
            <a:effectLst/>
          </c:spPr>
          <c:invertIfNegative val="0"/>
          <c:dPt>
            <c:idx val="0"/>
            <c:invertIfNegative val="0"/>
            <c:bubble3D val="0"/>
            <c:extLst>
              <c:ext xmlns:c16="http://schemas.microsoft.com/office/drawing/2014/chart" uri="{C3380CC4-5D6E-409C-BE32-E72D297353CC}">
                <c16:uniqueId val="{0000000E-ADCD-4DAF-96FF-FE349E962FFD}"/>
              </c:ext>
            </c:extLst>
          </c:dPt>
          <c:val>
            <c:numRef>
              <c:f>'Output - Results'!$B$30</c:f>
              <c:numCache>
                <c:formatCode>0</c:formatCode>
                <c:ptCount val="1"/>
                <c:pt idx="0">
                  <c:v>1</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1.jpeg"/><Relationship Id="rId1" Type="http://schemas.openxmlformats.org/officeDocument/2006/relationships/image" Target="../media/image5.png"/><Relationship Id="rId5" Type="http://schemas.openxmlformats.org/officeDocument/2006/relationships/image" Target="../media/image2.jpeg"/><Relationship Id="rId4"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1.jpeg"/><Relationship Id="rId1" Type="http://schemas.openxmlformats.org/officeDocument/2006/relationships/image" Target="../media/image5.png"/><Relationship Id="rId6" Type="http://schemas.openxmlformats.org/officeDocument/2006/relationships/image" Target="../media/image11.emf"/><Relationship Id="rId5" Type="http://schemas.openxmlformats.org/officeDocument/2006/relationships/image" Target="../media/image2.jpeg"/><Relationship Id="rId4"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jpeg"/><Relationship Id="rId1" Type="http://schemas.openxmlformats.org/officeDocument/2006/relationships/image" Target="../media/image5.png"/><Relationship Id="rId5" Type="http://schemas.openxmlformats.org/officeDocument/2006/relationships/image" Target="../media/image2.jpeg"/><Relationship Id="rId4"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8" Type="http://schemas.openxmlformats.org/officeDocument/2006/relationships/chart" Target="../charts/chart3.xml"/><Relationship Id="rId13" Type="http://schemas.openxmlformats.org/officeDocument/2006/relationships/chart" Target="../charts/chart8.xml"/><Relationship Id="rId18" Type="http://schemas.openxmlformats.org/officeDocument/2006/relationships/chart" Target="../charts/chart13.xml"/><Relationship Id="rId3" Type="http://schemas.openxmlformats.org/officeDocument/2006/relationships/image" Target="../media/image15.jpeg"/><Relationship Id="rId21" Type="http://schemas.openxmlformats.org/officeDocument/2006/relationships/chart" Target="../charts/chart16.xml"/><Relationship Id="rId7" Type="http://schemas.openxmlformats.org/officeDocument/2006/relationships/chart" Target="../charts/chart2.xml"/><Relationship Id="rId12" Type="http://schemas.openxmlformats.org/officeDocument/2006/relationships/chart" Target="../charts/chart7.xml"/><Relationship Id="rId17" Type="http://schemas.openxmlformats.org/officeDocument/2006/relationships/chart" Target="../charts/chart12.xml"/><Relationship Id="rId2" Type="http://schemas.openxmlformats.org/officeDocument/2006/relationships/image" Target="../media/image14.jpeg"/><Relationship Id="rId16" Type="http://schemas.openxmlformats.org/officeDocument/2006/relationships/chart" Target="../charts/chart11.xml"/><Relationship Id="rId20" Type="http://schemas.openxmlformats.org/officeDocument/2006/relationships/chart" Target="../charts/chart15.xml"/><Relationship Id="rId1" Type="http://schemas.openxmlformats.org/officeDocument/2006/relationships/image" Target="../media/image1.jpeg"/><Relationship Id="rId6" Type="http://schemas.openxmlformats.org/officeDocument/2006/relationships/chart" Target="../charts/chart1.xml"/><Relationship Id="rId11" Type="http://schemas.openxmlformats.org/officeDocument/2006/relationships/chart" Target="../charts/chart6.xml"/><Relationship Id="rId5" Type="http://schemas.openxmlformats.org/officeDocument/2006/relationships/image" Target="../media/image5.png"/><Relationship Id="rId15" Type="http://schemas.openxmlformats.org/officeDocument/2006/relationships/chart" Target="../charts/chart10.xml"/><Relationship Id="rId10" Type="http://schemas.openxmlformats.org/officeDocument/2006/relationships/chart" Target="../charts/chart5.xml"/><Relationship Id="rId19" Type="http://schemas.openxmlformats.org/officeDocument/2006/relationships/chart" Target="../charts/chart14.xml"/><Relationship Id="rId4" Type="http://schemas.openxmlformats.org/officeDocument/2006/relationships/image" Target="../media/image2.jpeg"/><Relationship Id="rId9" Type="http://schemas.openxmlformats.org/officeDocument/2006/relationships/chart" Target="../charts/chart4.xml"/><Relationship Id="rId14" Type="http://schemas.openxmlformats.org/officeDocument/2006/relationships/chart" Target="../charts/chart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editAs="oneCell">
    <xdr:from>
      <xdr:col>0</xdr:col>
      <xdr:colOff>320041</xdr:colOff>
      <xdr:row>0</xdr:row>
      <xdr:rowOff>53341</xdr:rowOff>
    </xdr:from>
    <xdr:to>
      <xdr:col>5</xdr:col>
      <xdr:colOff>182880</xdr:colOff>
      <xdr:row>7</xdr:row>
      <xdr:rowOff>154351</xdr:rowOff>
    </xdr:to>
    <xdr:pic>
      <xdr:nvPicPr>
        <xdr:cNvPr id="3" name="Image 8">
          <a:extLst>
            <a:ext uri="{FF2B5EF4-FFF2-40B4-BE49-F238E27FC236}">
              <a16:creationId xmlns:a16="http://schemas.microsoft.com/office/drawing/2014/main" id="{33385DA9-4A3C-6A81-154E-9D7E6015EB45}"/>
            </a:ext>
          </a:extLst>
        </xdr:cNvPr>
        <xdr:cNvPicPr>
          <a:picLocks noChangeAspect="1"/>
        </xdr:cNvPicPr>
      </xdr:nvPicPr>
      <xdr:blipFill rotWithShape="1">
        <a:blip xmlns:r="http://schemas.openxmlformats.org/officeDocument/2006/relationships" r:embed="rId1"/>
        <a:srcRect r="47757" b="66961"/>
        <a:stretch/>
      </xdr:blipFill>
      <xdr:spPr>
        <a:xfrm>
          <a:off x="320041" y="53341"/>
          <a:ext cx="2910839" cy="1381170"/>
        </a:xfrm>
        <a:prstGeom prst="rect">
          <a:avLst/>
        </a:prstGeom>
      </xdr:spPr>
    </xdr:pic>
    <xdr:clientData/>
  </xdr:twoCellAnchor>
  <xdr:twoCellAnchor>
    <xdr:from>
      <xdr:col>12</xdr:col>
      <xdr:colOff>169784</xdr:colOff>
      <xdr:row>24</xdr:row>
      <xdr:rowOff>103792</xdr:rowOff>
    </xdr:from>
    <xdr:to>
      <xdr:col>16</xdr:col>
      <xdr:colOff>510541</xdr:colOff>
      <xdr:row>27</xdr:row>
      <xdr:rowOff>137159</xdr:rowOff>
    </xdr:to>
    <xdr:pic>
      <xdr:nvPicPr>
        <xdr:cNvPr id="2" name="Image 8">
          <a:extLst>
            <a:ext uri="{FF2B5EF4-FFF2-40B4-BE49-F238E27FC236}">
              <a16:creationId xmlns:a16="http://schemas.microsoft.com/office/drawing/2014/main" id="{1B8307A1-48CF-A800-912C-E7729A7D5C56}"/>
            </a:ext>
          </a:extLst>
        </xdr:cNvPr>
        <xdr:cNvPicPr/>
      </xdr:nvPicPr>
      <xdr:blipFill>
        <a:blip xmlns:r="http://schemas.openxmlformats.org/officeDocument/2006/relationships" r:embed="rId2"/>
        <a:stretch>
          <a:fillRect/>
        </a:stretch>
      </xdr:blipFill>
      <xdr:spPr>
        <a:xfrm>
          <a:off x="7484984" y="4492912"/>
          <a:ext cx="2779157" cy="582007"/>
        </a:xfrm>
        <a:prstGeom prst="rect">
          <a:avLst/>
        </a:prstGeom>
        <a:noFill/>
        <a:ln>
          <a:noFill/>
          <a:prstDash/>
        </a:ln>
      </xdr:spPr>
    </xdr:pic>
    <xdr:clientData/>
  </xdr:twoCellAnchor>
  <xdr:twoCellAnchor>
    <xdr:from>
      <xdr:col>4</xdr:col>
      <xdr:colOff>7621</xdr:colOff>
      <xdr:row>24</xdr:row>
      <xdr:rowOff>117197</xdr:rowOff>
    </xdr:from>
    <xdr:to>
      <xdr:col>8</xdr:col>
      <xdr:colOff>388141</xdr:colOff>
      <xdr:row>27</xdr:row>
      <xdr:rowOff>91440</xdr:rowOff>
    </xdr:to>
    <xdr:pic>
      <xdr:nvPicPr>
        <xdr:cNvPr id="7" name="Picture 6">
          <a:extLst>
            <a:ext uri="{FF2B5EF4-FFF2-40B4-BE49-F238E27FC236}">
              <a16:creationId xmlns:a16="http://schemas.microsoft.com/office/drawing/2014/main" id="{5829F4B3-1072-34F5-9E3A-397631D3C7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46021" y="4506317"/>
          <a:ext cx="2818920" cy="522883"/>
        </a:xfrm>
        <a:prstGeom prst="rect">
          <a:avLst/>
        </a:prstGeom>
      </xdr:spPr>
    </xdr:pic>
    <xdr:clientData/>
  </xdr:twoCellAnchor>
  <xdr:twoCellAnchor>
    <xdr:from>
      <xdr:col>9</xdr:col>
      <xdr:colOff>38849</xdr:colOff>
      <xdr:row>24</xdr:row>
      <xdr:rowOff>139846</xdr:rowOff>
    </xdr:from>
    <xdr:to>
      <xdr:col>11</xdr:col>
      <xdr:colOff>354498</xdr:colOff>
      <xdr:row>27</xdr:row>
      <xdr:rowOff>106256</xdr:rowOff>
    </xdr:to>
    <xdr:pic>
      <xdr:nvPicPr>
        <xdr:cNvPr id="8" name="Picture 7">
          <a:extLst>
            <a:ext uri="{FF2B5EF4-FFF2-40B4-BE49-F238E27FC236}">
              <a16:creationId xmlns:a16="http://schemas.microsoft.com/office/drawing/2014/main" id="{096603F3-6306-D4CA-FD54-C55C116740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25249" y="4528966"/>
          <a:ext cx="1534849" cy="515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22860</xdr:colOff>
      <xdr:row>0</xdr:row>
      <xdr:rowOff>175260</xdr:rowOff>
    </xdr:from>
    <xdr:to>
      <xdr:col>16</xdr:col>
      <xdr:colOff>281940</xdr:colOff>
      <xdr:row>5</xdr:row>
      <xdr:rowOff>122428</xdr:rowOff>
    </xdr:to>
    <xdr:sp macro="" textlink="">
      <xdr:nvSpPr>
        <xdr:cNvPr id="9" name="TextBox 8">
          <a:extLst>
            <a:ext uri="{FF2B5EF4-FFF2-40B4-BE49-F238E27FC236}">
              <a16:creationId xmlns:a16="http://schemas.microsoft.com/office/drawing/2014/main" id="{56919EDE-0044-4EF2-97C9-C3014153846D}"/>
            </a:ext>
          </a:extLst>
        </xdr:cNvPr>
        <xdr:cNvSpPr txBox="1"/>
      </xdr:nvSpPr>
      <xdr:spPr>
        <a:xfrm>
          <a:off x="3070860" y="175260"/>
          <a:ext cx="6964680" cy="861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200" b="1" kern="1200"/>
            <a:t>Buddiepack Circularity Indicator</a:t>
          </a:r>
          <a:r>
            <a:rPr lang="en-GB" sz="3200" b="1" kern="1200" baseline="0"/>
            <a:t> Tool</a:t>
          </a:r>
          <a:endParaRPr lang="en-GB" sz="3200" b="1" kern="1200"/>
        </a:p>
      </xdr:txBody>
    </xdr:sp>
    <xdr:clientData/>
  </xdr:twoCellAnchor>
  <xdr:twoCellAnchor>
    <xdr:from>
      <xdr:col>7</xdr:col>
      <xdr:colOff>121920</xdr:colOff>
      <xdr:row>3</xdr:row>
      <xdr:rowOff>114300</xdr:rowOff>
    </xdr:from>
    <xdr:to>
      <xdr:col>14</xdr:col>
      <xdr:colOff>14616</xdr:colOff>
      <xdr:row>7</xdr:row>
      <xdr:rowOff>114300</xdr:rowOff>
    </xdr:to>
    <xdr:sp macro="" textlink="">
      <xdr:nvSpPr>
        <xdr:cNvPr id="10" name="TextBox 9">
          <a:extLst>
            <a:ext uri="{FF2B5EF4-FFF2-40B4-BE49-F238E27FC236}">
              <a16:creationId xmlns:a16="http://schemas.microsoft.com/office/drawing/2014/main" id="{7C21B931-F49D-4EB2-B805-FA27A492D14E}"/>
            </a:ext>
          </a:extLst>
        </xdr:cNvPr>
        <xdr:cNvSpPr txBox="1"/>
      </xdr:nvSpPr>
      <xdr:spPr>
        <a:xfrm>
          <a:off x="4389120" y="662940"/>
          <a:ext cx="4159896" cy="7315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0" kern="1200"/>
            <a:t>Input 1: Life</a:t>
          </a:r>
          <a:r>
            <a:rPr lang="en-GB" sz="2400" b="0" kern="1200" baseline="0"/>
            <a:t> Cycle Information</a:t>
          </a:r>
          <a:endParaRPr lang="en-GB" sz="2400" b="0" kern="1200"/>
        </a:p>
      </xdr:txBody>
    </xdr:sp>
    <xdr:clientData/>
  </xdr:twoCellAnchor>
  <xdr:twoCellAnchor editAs="oneCell">
    <xdr:from>
      <xdr:col>13</xdr:col>
      <xdr:colOff>358140</xdr:colOff>
      <xdr:row>3</xdr:row>
      <xdr:rowOff>91441</xdr:rowOff>
    </xdr:from>
    <xdr:to>
      <xdr:col>19</xdr:col>
      <xdr:colOff>281940</xdr:colOff>
      <xdr:row>6</xdr:row>
      <xdr:rowOff>154678</xdr:rowOff>
    </xdr:to>
    <xdr:pic>
      <xdr:nvPicPr>
        <xdr:cNvPr id="4" name="Image 9">
          <a:extLst>
            <a:ext uri="{FF2B5EF4-FFF2-40B4-BE49-F238E27FC236}">
              <a16:creationId xmlns:a16="http://schemas.microsoft.com/office/drawing/2014/main" id="{33385DA9-4A3C-6A81-154E-9D7E6015EB45}"/>
            </a:ext>
          </a:extLst>
        </xdr:cNvPr>
        <xdr:cNvPicPr>
          <a:picLocks noChangeAspect="1"/>
        </xdr:cNvPicPr>
      </xdr:nvPicPr>
      <xdr:blipFill rotWithShape="1">
        <a:blip xmlns:r="http://schemas.openxmlformats.org/officeDocument/2006/relationships" r:embed="rId1"/>
        <a:srcRect l="47620" t="130" r="137" b="87974"/>
        <a:stretch/>
      </xdr:blipFill>
      <xdr:spPr>
        <a:xfrm>
          <a:off x="8282940" y="640081"/>
          <a:ext cx="3581400" cy="611877"/>
        </a:xfrm>
        <a:prstGeom prst="rect">
          <a:avLst/>
        </a:prstGeom>
      </xdr:spPr>
    </xdr:pic>
    <xdr:clientData/>
  </xdr:twoCellAnchor>
  <xdr:twoCellAnchor>
    <xdr:from>
      <xdr:col>3</xdr:col>
      <xdr:colOff>91440</xdr:colOff>
      <xdr:row>7</xdr:row>
      <xdr:rowOff>114300</xdr:rowOff>
    </xdr:from>
    <xdr:to>
      <xdr:col>17</xdr:col>
      <xdr:colOff>373380</xdr:colOff>
      <xdr:row>23</xdr:row>
      <xdr:rowOff>22860</xdr:rowOff>
    </xdr:to>
    <xdr:sp macro="" textlink="">
      <xdr:nvSpPr>
        <xdr:cNvPr id="11" name="TextBox 10">
          <a:extLst>
            <a:ext uri="{FF2B5EF4-FFF2-40B4-BE49-F238E27FC236}">
              <a16:creationId xmlns:a16="http://schemas.microsoft.com/office/drawing/2014/main" id="{47110785-3130-88FF-B9C6-8149FEA51015}"/>
            </a:ext>
          </a:extLst>
        </xdr:cNvPr>
        <xdr:cNvSpPr txBox="1"/>
      </xdr:nvSpPr>
      <xdr:spPr>
        <a:xfrm>
          <a:off x="1920240" y="1394460"/>
          <a:ext cx="8816340" cy="2834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kern="1200"/>
            <a:t>This tool has been developed by IPC and The University</a:t>
          </a:r>
          <a:r>
            <a:rPr lang="en-GB" sz="1600" b="1" kern="1200" baseline="0"/>
            <a:t> of Sheffield as part of deliverable D7.3 of the Buddiepack project.</a:t>
          </a:r>
        </a:p>
        <a:p>
          <a:pPr algn="ctr"/>
          <a:endParaRPr lang="en-GB" sz="1050" b="0" kern="1200" baseline="0"/>
        </a:p>
        <a:p>
          <a:pPr algn="ctr"/>
          <a:r>
            <a:rPr lang="en-GB" sz="1600" b="0" kern="1200" baseline="0"/>
            <a:t>The tool allows the comparison of circularity of reusable and single-use products. </a:t>
          </a:r>
        </a:p>
        <a:p>
          <a:pPr algn="ctr"/>
          <a:r>
            <a:rPr lang="en-GB" sz="1600" b="0" kern="1200" baseline="0"/>
            <a:t>In order to fully assess circularity, assessment is undertaken across three areas: Circular Flow of Resources, Value and Sustainable development.</a:t>
          </a:r>
        </a:p>
        <a:p>
          <a:pPr algn="ctr"/>
          <a:endParaRPr lang="en-GB" sz="1100" b="0" kern="1200" baseline="0"/>
        </a:p>
        <a:p>
          <a:pPr algn="ctr"/>
          <a:r>
            <a:rPr lang="en-GB" sz="1600" b="0" kern="1200" baseline="0"/>
            <a:t>To use the tool, enter project information in the first sheet, then the required data into each input sheets. Results are presented in the output sheet. </a:t>
          </a:r>
        </a:p>
        <a:p>
          <a:pPr algn="ctr"/>
          <a:endParaRPr lang="en-GB" sz="1100" b="0" kern="1200" baseline="0"/>
        </a:p>
        <a:p>
          <a:pPr algn="ctr"/>
          <a:r>
            <a:rPr lang="en-GB" sz="1600" b="0" kern="1200" baseline="0"/>
            <a:t>Further details of the calculation methods used and assumptions are available in the Deliverable D7.3 report, which can be found on the Buddiepack website.</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421822</xdr:colOff>
      <xdr:row>0</xdr:row>
      <xdr:rowOff>27213</xdr:rowOff>
    </xdr:from>
    <xdr:to>
      <xdr:col>33</xdr:col>
      <xdr:colOff>536122</xdr:colOff>
      <xdr:row>61</xdr:row>
      <xdr:rowOff>161924</xdr:rowOff>
    </xdr:to>
    <xdr:pic>
      <xdr:nvPicPr>
        <xdr:cNvPr id="2" name="Image 5" descr="Exemples De Tableaux De Bord Et KPIs | ClicData">
          <a:extLst>
            <a:ext uri="{FF2B5EF4-FFF2-40B4-BE49-F238E27FC236}">
              <a16:creationId xmlns:a16="http://schemas.microsoft.com/office/drawing/2014/main" id="{00AD8EA3-6ED5-4BC4-8ADF-0DD3C21444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77062" y="27213"/>
          <a:ext cx="11209020" cy="11298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163285</xdr:colOff>
      <xdr:row>9</xdr:row>
      <xdr:rowOff>68036</xdr:rowOff>
    </xdr:from>
    <xdr:to>
      <xdr:col>15</xdr:col>
      <xdr:colOff>13606</xdr:colOff>
      <xdr:row>32</xdr:row>
      <xdr:rowOff>122464</xdr:rowOff>
    </xdr:to>
    <xdr:graphicFrame macro="">
      <xdr:nvGraphicFramePr>
        <xdr:cNvPr id="3" name="Graphique 6">
          <a:extLst>
            <a:ext uri="{FF2B5EF4-FFF2-40B4-BE49-F238E27FC236}">
              <a16:creationId xmlns:a16="http://schemas.microsoft.com/office/drawing/2014/main" id="{2CB160E6-421D-4AD1-AB10-28ADA4518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38</xdr:col>
      <xdr:colOff>180390</xdr:colOff>
      <xdr:row>0</xdr:row>
      <xdr:rowOff>0</xdr:rowOff>
    </xdr:from>
    <xdr:to>
      <xdr:col>59</xdr:col>
      <xdr:colOff>3347</xdr:colOff>
      <xdr:row>40</xdr:row>
      <xdr:rowOff>112615</xdr:rowOff>
    </xdr:to>
    <xdr:pic>
      <xdr:nvPicPr>
        <xdr:cNvPr id="2" name="Image 1">
          <a:extLst>
            <a:ext uri="{FF2B5EF4-FFF2-40B4-BE49-F238E27FC236}">
              <a16:creationId xmlns:a16="http://schemas.microsoft.com/office/drawing/2014/main" id="{590D7D80-A2AA-49C1-82F0-9E9D9A248EBC}"/>
            </a:ext>
          </a:extLst>
        </xdr:cNvPr>
        <xdr:cNvPicPr>
          <a:picLocks noChangeAspect="1"/>
        </xdr:cNvPicPr>
      </xdr:nvPicPr>
      <xdr:blipFill>
        <a:blip xmlns:r="http://schemas.openxmlformats.org/officeDocument/2006/relationships" r:embed="rId1"/>
        <a:stretch>
          <a:fillRect/>
        </a:stretch>
      </xdr:blipFill>
      <xdr:spPr>
        <a:xfrm>
          <a:off x="38181330" y="0"/>
          <a:ext cx="16465037" cy="8288875"/>
        </a:xfrm>
        <a:prstGeom prst="rect">
          <a:avLst/>
        </a:prstGeom>
      </xdr:spPr>
    </xdr:pic>
    <xdr:clientData/>
  </xdr:twoCellAnchor>
  <xdr:twoCellAnchor>
    <xdr:from>
      <xdr:col>0</xdr:col>
      <xdr:colOff>905437</xdr:colOff>
      <xdr:row>108</xdr:row>
      <xdr:rowOff>80683</xdr:rowOff>
    </xdr:from>
    <xdr:to>
      <xdr:col>3</xdr:col>
      <xdr:colOff>1559860</xdr:colOff>
      <xdr:row>122</xdr:row>
      <xdr:rowOff>35859</xdr:rowOff>
    </xdr:to>
    <xdr:sp macro="" textlink="">
      <xdr:nvSpPr>
        <xdr:cNvPr id="3" name="TextBox 2">
          <a:extLst>
            <a:ext uri="{FF2B5EF4-FFF2-40B4-BE49-F238E27FC236}">
              <a16:creationId xmlns:a16="http://schemas.microsoft.com/office/drawing/2014/main" id="{7DEC40F5-3B41-F797-E220-CD7A14752090}"/>
            </a:ext>
          </a:extLst>
        </xdr:cNvPr>
        <xdr:cNvSpPr txBox="1"/>
      </xdr:nvSpPr>
      <xdr:spPr>
        <a:xfrm>
          <a:off x="905437" y="20556071"/>
          <a:ext cx="5235388" cy="24652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200" kern="1200">
              <a:solidFill>
                <a:srgbClr val="FF0000"/>
              </a:solidFill>
            </a:rPr>
            <a:t>we need "other"</a:t>
          </a:r>
          <a:r>
            <a:rPr lang="en-GB" sz="3200" kern="1200" baseline="0">
              <a:solidFill>
                <a:srgbClr val="FF0000"/>
              </a:solidFill>
            </a:rPr>
            <a:t> in here - then link it to DGbaseF2V, then link that to Single-use results, which will link to the final results</a:t>
          </a:r>
          <a:endParaRPr lang="en-GB" sz="3200" kern="12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411480</xdr:colOff>
      <xdr:row>0</xdr:row>
      <xdr:rowOff>129540</xdr:rowOff>
    </xdr:from>
    <xdr:to>
      <xdr:col>19</xdr:col>
      <xdr:colOff>470535</xdr:colOff>
      <xdr:row>16</xdr:row>
      <xdr:rowOff>22859</xdr:rowOff>
    </xdr:to>
    <xdr:pic>
      <xdr:nvPicPr>
        <xdr:cNvPr id="2" name="drawing">
          <a:extLst>
            <a:ext uri="{FF2B5EF4-FFF2-40B4-BE49-F238E27FC236}">
              <a16:creationId xmlns:a16="http://schemas.microsoft.com/office/drawing/2014/main" id="{4384CB41-BCA5-D440-BD81-EE3E3C9785D6}"/>
            </a:ext>
          </a:extLst>
        </xdr:cNvPr>
        <xdr:cNvPicPr/>
      </xdr:nvPicPr>
      <xdr:blipFill>
        <a:blip xmlns:r="http://schemas.openxmlformats.org/officeDocument/2006/relationships" r:embed="rId1"/>
        <a:stretch>
          <a:fillRect/>
        </a:stretch>
      </xdr:blipFill>
      <xdr:spPr>
        <a:xfrm>
          <a:off x="8945880" y="129540"/>
          <a:ext cx="4752975" cy="2819399"/>
        </a:xfrm>
        <a:prstGeom prst="rect">
          <a:avLst/>
        </a:prstGeom>
        <a:noFill/>
        <a:ln>
          <a:noFill/>
          <a:prstDash/>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784860</xdr:colOff>
      <xdr:row>0</xdr:row>
      <xdr:rowOff>99060</xdr:rowOff>
    </xdr:from>
    <xdr:ext cx="108531" cy="226460"/>
    <xdr:sp macro="" textlink="">
      <xdr:nvSpPr>
        <xdr:cNvPr id="7" name="TextBox 6">
          <a:extLst>
            <a:ext uri="{FF2B5EF4-FFF2-40B4-BE49-F238E27FC236}">
              <a16:creationId xmlns:a16="http://schemas.microsoft.com/office/drawing/2014/main" id="{50A5BFB4-0CF4-9539-FDD2-0E304B6F929A}"/>
            </a:ext>
          </a:extLst>
        </xdr:cNvPr>
        <xdr:cNvSpPr txBox="1"/>
      </xdr:nvSpPr>
      <xdr:spPr>
        <a:xfrm>
          <a:off x="1394460" y="99060"/>
          <a:ext cx="108531"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kern="1200"/>
        </a:p>
      </xdr:txBody>
    </xdr:sp>
    <xdr:clientData/>
  </xdr:oneCellAnchor>
  <xdr:twoCellAnchor>
    <xdr:from>
      <xdr:col>0</xdr:col>
      <xdr:colOff>0</xdr:colOff>
      <xdr:row>0</xdr:row>
      <xdr:rowOff>0</xdr:rowOff>
    </xdr:from>
    <xdr:to>
      <xdr:col>7</xdr:col>
      <xdr:colOff>472440</xdr:colOff>
      <xdr:row>5</xdr:row>
      <xdr:rowOff>15240</xdr:rowOff>
    </xdr:to>
    <xdr:grpSp>
      <xdr:nvGrpSpPr>
        <xdr:cNvPr id="11" name="Group 10">
          <a:extLst>
            <a:ext uri="{FF2B5EF4-FFF2-40B4-BE49-F238E27FC236}">
              <a16:creationId xmlns:a16="http://schemas.microsoft.com/office/drawing/2014/main" id="{E4EE9A6B-CC4F-2B02-1A86-39E1DE2CE255}"/>
            </a:ext>
          </a:extLst>
        </xdr:cNvPr>
        <xdr:cNvGrpSpPr/>
      </xdr:nvGrpSpPr>
      <xdr:grpSpPr>
        <a:xfrm>
          <a:off x="0" y="0"/>
          <a:ext cx="8567225" cy="923778"/>
          <a:chOff x="0" y="0"/>
          <a:chExt cx="8587740" cy="929640"/>
        </a:xfrm>
      </xdr:grpSpPr>
      <xdr:pic>
        <xdr:nvPicPr>
          <xdr:cNvPr id="4" name="Image 8">
            <a:extLst>
              <a:ext uri="{FF2B5EF4-FFF2-40B4-BE49-F238E27FC236}">
                <a16:creationId xmlns:a16="http://schemas.microsoft.com/office/drawing/2014/main" id="{092D4D59-A50F-4F5A-8D5C-278B6B964DF9}"/>
              </a:ext>
            </a:extLst>
          </xdr:cNvPr>
          <xdr:cNvPicPr>
            <a:picLocks noChangeAspect="1"/>
          </xdr:cNvPicPr>
        </xdr:nvPicPr>
        <xdr:blipFill rotWithShape="1">
          <a:blip xmlns:r="http://schemas.openxmlformats.org/officeDocument/2006/relationships" r:embed="rId1"/>
          <a:srcRect r="47757" b="66961"/>
          <a:stretch/>
        </xdr:blipFill>
        <xdr:spPr>
          <a:xfrm>
            <a:off x="0" y="0"/>
            <a:ext cx="1959232" cy="929640"/>
          </a:xfrm>
          <a:prstGeom prst="rect">
            <a:avLst/>
          </a:prstGeom>
        </xdr:spPr>
      </xdr:pic>
      <xdr:sp macro="" textlink="">
        <xdr:nvSpPr>
          <xdr:cNvPr id="8" name="TextBox 7">
            <a:extLst>
              <a:ext uri="{FF2B5EF4-FFF2-40B4-BE49-F238E27FC236}">
                <a16:creationId xmlns:a16="http://schemas.microsoft.com/office/drawing/2014/main" id="{01E6D9D1-DB9E-849B-5038-2C04798FB0C8}"/>
              </a:ext>
            </a:extLst>
          </xdr:cNvPr>
          <xdr:cNvSpPr txBox="1"/>
        </xdr:nvSpPr>
        <xdr:spPr>
          <a:xfrm>
            <a:off x="1287780" y="83820"/>
            <a:ext cx="483870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kern="1200"/>
              <a:t>Buddiepack Circularity Indicator</a:t>
            </a:r>
            <a:r>
              <a:rPr lang="en-GB" sz="2000" b="1" kern="1200" baseline="0"/>
              <a:t> Tool</a:t>
            </a:r>
            <a:endParaRPr lang="en-GB" sz="2000" b="1" kern="1200"/>
          </a:p>
        </xdr:txBody>
      </xdr:sp>
      <xdr:pic>
        <xdr:nvPicPr>
          <xdr:cNvPr id="5" name="Picture 4">
            <a:extLst>
              <a:ext uri="{FF2B5EF4-FFF2-40B4-BE49-F238E27FC236}">
                <a16:creationId xmlns:a16="http://schemas.microsoft.com/office/drawing/2014/main" id="{0DD41A82-B981-49F0-8182-C88E1D4D3B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03720" y="137161"/>
            <a:ext cx="1684020" cy="312370"/>
          </a:xfrm>
          <a:prstGeom prst="rect">
            <a:avLst/>
          </a:prstGeom>
        </xdr:spPr>
      </xdr:pic>
      <xdr:pic>
        <xdr:nvPicPr>
          <xdr:cNvPr id="6" name="Picture 5">
            <a:extLst>
              <a:ext uri="{FF2B5EF4-FFF2-40B4-BE49-F238E27FC236}">
                <a16:creationId xmlns:a16="http://schemas.microsoft.com/office/drawing/2014/main" id="{62110068-CB5B-4FD6-8660-B107EC728CF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90260" y="129540"/>
            <a:ext cx="876300" cy="2940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Image 8">
            <a:extLst>
              <a:ext uri="{FF2B5EF4-FFF2-40B4-BE49-F238E27FC236}">
                <a16:creationId xmlns:a16="http://schemas.microsoft.com/office/drawing/2014/main" id="{6DD349E2-7CAC-4368-B820-6D0EE9BEB05F}"/>
              </a:ext>
            </a:extLst>
          </xdr:cNvPr>
          <xdr:cNvPicPr/>
        </xdr:nvPicPr>
        <xdr:blipFill>
          <a:blip xmlns:r="http://schemas.openxmlformats.org/officeDocument/2006/relationships" r:embed="rId4"/>
          <a:stretch>
            <a:fillRect/>
          </a:stretch>
        </xdr:blipFill>
        <xdr:spPr>
          <a:xfrm>
            <a:off x="6314328" y="501261"/>
            <a:ext cx="1545540" cy="323023"/>
          </a:xfrm>
          <a:prstGeom prst="rect">
            <a:avLst/>
          </a:prstGeom>
          <a:noFill/>
          <a:ln>
            <a:noFill/>
            <a:prstDash/>
          </a:ln>
        </xdr:spPr>
      </xdr:pic>
      <xdr:sp macro="" textlink="">
        <xdr:nvSpPr>
          <xdr:cNvPr id="10" name="TextBox 9">
            <a:extLst>
              <a:ext uri="{FF2B5EF4-FFF2-40B4-BE49-F238E27FC236}">
                <a16:creationId xmlns:a16="http://schemas.microsoft.com/office/drawing/2014/main" id="{8D06BE59-0396-4EE4-BF6F-92B8F7C83D15}"/>
              </a:ext>
            </a:extLst>
          </xdr:cNvPr>
          <xdr:cNvSpPr txBox="1"/>
        </xdr:nvSpPr>
        <xdr:spPr>
          <a:xfrm>
            <a:off x="1897380" y="419100"/>
            <a:ext cx="303276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0" kern="1200"/>
              <a:t>Input 1: Life</a:t>
            </a:r>
            <a:r>
              <a:rPr lang="en-GB" sz="1600" b="0" kern="1200" baseline="0"/>
              <a:t> Cycle Information</a:t>
            </a:r>
            <a:endParaRPr lang="en-GB" sz="1600" b="0" kern="1200"/>
          </a:p>
        </xdr:txBody>
      </xdr:sp>
    </xdr:grpSp>
    <xdr:clientData/>
  </xdr:twoCellAnchor>
  <xdr:twoCellAnchor editAs="oneCell">
    <xdr:from>
      <xdr:col>5</xdr:col>
      <xdr:colOff>351694</xdr:colOff>
      <xdr:row>3</xdr:row>
      <xdr:rowOff>5857</xdr:rowOff>
    </xdr:from>
    <xdr:to>
      <xdr:col>11</xdr:col>
      <xdr:colOff>1435347</xdr:colOff>
      <xdr:row>14</xdr:row>
      <xdr:rowOff>167635</xdr:rowOff>
    </xdr:to>
    <xdr:pic>
      <xdr:nvPicPr>
        <xdr:cNvPr id="2" name="drawing">
          <a:extLst>
            <a:ext uri="{FF2B5EF4-FFF2-40B4-BE49-F238E27FC236}">
              <a16:creationId xmlns:a16="http://schemas.microsoft.com/office/drawing/2014/main" id="{1F1ABD1A-7BC2-4879-9EF0-BFCD995AC948}"/>
            </a:ext>
          </a:extLst>
        </xdr:cNvPr>
        <xdr:cNvPicPr/>
      </xdr:nvPicPr>
      <xdr:blipFill>
        <a:blip xmlns:r="http://schemas.openxmlformats.org/officeDocument/2006/relationships" r:embed="rId5"/>
        <a:stretch>
          <a:fillRect/>
        </a:stretch>
      </xdr:blipFill>
      <xdr:spPr>
        <a:xfrm>
          <a:off x="7239002" y="550980"/>
          <a:ext cx="4706083" cy="2799470"/>
        </a:xfrm>
        <a:prstGeom prst="rect">
          <a:avLst/>
        </a:prstGeom>
        <a:noFill/>
        <a:ln>
          <a:noFill/>
          <a:prstDash/>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137160</xdr:colOff>
      <xdr:row>2</xdr:row>
      <xdr:rowOff>175260</xdr:rowOff>
    </xdr:from>
    <xdr:to>
      <xdr:col>14</xdr:col>
      <xdr:colOff>13335</xdr:colOff>
      <xdr:row>16</xdr:row>
      <xdr:rowOff>38099</xdr:rowOff>
    </xdr:to>
    <xdr:pic>
      <xdr:nvPicPr>
        <xdr:cNvPr id="2" name="drawing">
          <a:extLst>
            <a:ext uri="{FF2B5EF4-FFF2-40B4-BE49-F238E27FC236}">
              <a16:creationId xmlns:a16="http://schemas.microsoft.com/office/drawing/2014/main" id="{9185BCBD-1B6B-4613-9FBD-B2CB3DAFD087}"/>
            </a:ext>
          </a:extLst>
        </xdr:cNvPr>
        <xdr:cNvPicPr/>
      </xdr:nvPicPr>
      <xdr:blipFill>
        <a:blip xmlns:r="http://schemas.openxmlformats.org/officeDocument/2006/relationships" r:embed="rId1"/>
        <a:stretch>
          <a:fillRect/>
        </a:stretch>
      </xdr:blipFill>
      <xdr:spPr>
        <a:xfrm>
          <a:off x="7261860" y="541020"/>
          <a:ext cx="4752975" cy="2819399"/>
        </a:xfrm>
        <a:prstGeom prst="rect">
          <a:avLst/>
        </a:prstGeom>
        <a:noFill/>
        <a:ln>
          <a:noFill/>
          <a:prstDash/>
        </a:ln>
      </xdr:spPr>
    </xdr:pic>
    <xdr:clientData/>
  </xdr:twoCellAnchor>
  <xdr:twoCellAnchor>
    <xdr:from>
      <xdr:col>9</xdr:col>
      <xdr:colOff>297180</xdr:colOff>
      <xdr:row>2</xdr:row>
      <xdr:rowOff>137160</xdr:rowOff>
    </xdr:from>
    <xdr:to>
      <xdr:col>10</xdr:col>
      <xdr:colOff>457200</xdr:colOff>
      <xdr:row>4</xdr:row>
      <xdr:rowOff>175260</xdr:rowOff>
    </xdr:to>
    <xdr:sp macro="" textlink="">
      <xdr:nvSpPr>
        <xdr:cNvPr id="3" name="Rectangle: Rounded Corners 2">
          <a:extLst>
            <a:ext uri="{FF2B5EF4-FFF2-40B4-BE49-F238E27FC236}">
              <a16:creationId xmlns:a16="http://schemas.microsoft.com/office/drawing/2014/main" id="{3A7F8E36-6A7F-4636-AF9F-30058D4347FB}"/>
            </a:ext>
          </a:extLst>
        </xdr:cNvPr>
        <xdr:cNvSpPr/>
      </xdr:nvSpPr>
      <xdr:spPr>
        <a:xfrm>
          <a:off x="9250680" y="502920"/>
          <a:ext cx="769620" cy="403860"/>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0</xdr:col>
      <xdr:colOff>0</xdr:colOff>
      <xdr:row>0</xdr:row>
      <xdr:rowOff>0</xdr:rowOff>
    </xdr:from>
    <xdr:to>
      <xdr:col>8</xdr:col>
      <xdr:colOff>243840</xdr:colOff>
      <xdr:row>5</xdr:row>
      <xdr:rowOff>15240</xdr:rowOff>
    </xdr:to>
    <xdr:grpSp>
      <xdr:nvGrpSpPr>
        <xdr:cNvPr id="4" name="Group 3">
          <a:extLst>
            <a:ext uri="{FF2B5EF4-FFF2-40B4-BE49-F238E27FC236}">
              <a16:creationId xmlns:a16="http://schemas.microsoft.com/office/drawing/2014/main" id="{52E10674-9740-4731-A2DF-5E7CE0547F65}"/>
            </a:ext>
          </a:extLst>
        </xdr:cNvPr>
        <xdr:cNvGrpSpPr/>
      </xdr:nvGrpSpPr>
      <xdr:grpSpPr>
        <a:xfrm>
          <a:off x="0" y="0"/>
          <a:ext cx="8549640" cy="923778"/>
          <a:chOff x="0" y="0"/>
          <a:chExt cx="8587740" cy="929640"/>
        </a:xfrm>
      </xdr:grpSpPr>
      <xdr:pic>
        <xdr:nvPicPr>
          <xdr:cNvPr id="5" name="Image 8">
            <a:extLst>
              <a:ext uri="{FF2B5EF4-FFF2-40B4-BE49-F238E27FC236}">
                <a16:creationId xmlns:a16="http://schemas.microsoft.com/office/drawing/2014/main" id="{33CC1AA2-CBD2-9AF1-4076-6A630D876FDE}"/>
              </a:ext>
            </a:extLst>
          </xdr:cNvPr>
          <xdr:cNvPicPr>
            <a:picLocks noChangeAspect="1"/>
          </xdr:cNvPicPr>
        </xdr:nvPicPr>
        <xdr:blipFill rotWithShape="1">
          <a:blip xmlns:r="http://schemas.openxmlformats.org/officeDocument/2006/relationships" r:embed="rId2"/>
          <a:srcRect r="47757" b="66961"/>
          <a:stretch/>
        </xdr:blipFill>
        <xdr:spPr>
          <a:xfrm>
            <a:off x="0" y="0"/>
            <a:ext cx="1959232" cy="929640"/>
          </a:xfrm>
          <a:prstGeom prst="rect">
            <a:avLst/>
          </a:prstGeom>
        </xdr:spPr>
      </xdr:pic>
      <xdr:sp macro="" textlink="">
        <xdr:nvSpPr>
          <xdr:cNvPr id="6" name="TextBox 5">
            <a:extLst>
              <a:ext uri="{FF2B5EF4-FFF2-40B4-BE49-F238E27FC236}">
                <a16:creationId xmlns:a16="http://schemas.microsoft.com/office/drawing/2014/main" id="{D3E8F43F-4DFC-4AD4-143E-33E9C88C6DC7}"/>
              </a:ext>
            </a:extLst>
          </xdr:cNvPr>
          <xdr:cNvSpPr txBox="1"/>
        </xdr:nvSpPr>
        <xdr:spPr>
          <a:xfrm>
            <a:off x="1287780" y="83820"/>
            <a:ext cx="483870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kern="1200"/>
              <a:t>Buddiepack Circularity Indicator</a:t>
            </a:r>
            <a:r>
              <a:rPr lang="en-GB" sz="2000" b="1" kern="1200" baseline="0"/>
              <a:t> Tool</a:t>
            </a:r>
            <a:endParaRPr lang="en-GB" sz="2000" b="1" kern="1200"/>
          </a:p>
        </xdr:txBody>
      </xdr:sp>
      <xdr:pic>
        <xdr:nvPicPr>
          <xdr:cNvPr id="7" name="Picture 6">
            <a:extLst>
              <a:ext uri="{FF2B5EF4-FFF2-40B4-BE49-F238E27FC236}">
                <a16:creationId xmlns:a16="http://schemas.microsoft.com/office/drawing/2014/main" id="{D5E32DD0-699A-47D9-3B94-A1AB7D17B56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03720" y="137161"/>
            <a:ext cx="1684020" cy="312370"/>
          </a:xfrm>
          <a:prstGeom prst="rect">
            <a:avLst/>
          </a:prstGeom>
        </xdr:spPr>
      </xdr:pic>
      <xdr:pic>
        <xdr:nvPicPr>
          <xdr:cNvPr id="8" name="Picture 7">
            <a:extLst>
              <a:ext uri="{FF2B5EF4-FFF2-40B4-BE49-F238E27FC236}">
                <a16:creationId xmlns:a16="http://schemas.microsoft.com/office/drawing/2014/main" id="{893A3C47-4020-2EBD-C947-694DEB09B21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90260" y="129540"/>
            <a:ext cx="876300" cy="2940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Image 8">
            <a:extLst>
              <a:ext uri="{FF2B5EF4-FFF2-40B4-BE49-F238E27FC236}">
                <a16:creationId xmlns:a16="http://schemas.microsoft.com/office/drawing/2014/main" id="{5F57662F-0DCC-5295-D2B0-E6EC5F8E537C}"/>
              </a:ext>
            </a:extLst>
          </xdr:cNvPr>
          <xdr:cNvPicPr/>
        </xdr:nvPicPr>
        <xdr:blipFill>
          <a:blip xmlns:r="http://schemas.openxmlformats.org/officeDocument/2006/relationships" r:embed="rId5"/>
          <a:stretch>
            <a:fillRect/>
          </a:stretch>
        </xdr:blipFill>
        <xdr:spPr>
          <a:xfrm>
            <a:off x="6314328" y="501261"/>
            <a:ext cx="1545540" cy="323023"/>
          </a:xfrm>
          <a:prstGeom prst="rect">
            <a:avLst/>
          </a:prstGeom>
          <a:noFill/>
          <a:ln>
            <a:noFill/>
            <a:prstDash/>
          </a:ln>
        </xdr:spPr>
      </xdr:pic>
      <xdr:sp macro="" textlink="">
        <xdr:nvSpPr>
          <xdr:cNvPr id="10" name="TextBox 9">
            <a:extLst>
              <a:ext uri="{FF2B5EF4-FFF2-40B4-BE49-F238E27FC236}">
                <a16:creationId xmlns:a16="http://schemas.microsoft.com/office/drawing/2014/main" id="{41B4DC1F-A229-AC3F-67C8-B18FFA0540FD}"/>
              </a:ext>
            </a:extLst>
          </xdr:cNvPr>
          <xdr:cNvSpPr txBox="1"/>
        </xdr:nvSpPr>
        <xdr:spPr>
          <a:xfrm>
            <a:off x="1897380" y="419100"/>
            <a:ext cx="303276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0" kern="1200"/>
              <a:t>Input 2: Circular Flow</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492361</xdr:colOff>
      <xdr:row>2</xdr:row>
      <xdr:rowOff>175153</xdr:rowOff>
    </xdr:from>
    <xdr:to>
      <xdr:col>12</xdr:col>
      <xdr:colOff>390259</xdr:colOff>
      <xdr:row>15</xdr:row>
      <xdr:rowOff>139362</xdr:rowOff>
    </xdr:to>
    <xdr:pic>
      <xdr:nvPicPr>
        <xdr:cNvPr id="2" name="drawing">
          <a:extLst>
            <a:ext uri="{FF2B5EF4-FFF2-40B4-BE49-F238E27FC236}">
              <a16:creationId xmlns:a16="http://schemas.microsoft.com/office/drawing/2014/main" id="{A65A3B25-5D3E-4CE3-9B32-B13B2C75F8D1}"/>
            </a:ext>
          </a:extLst>
        </xdr:cNvPr>
        <xdr:cNvPicPr/>
      </xdr:nvPicPr>
      <xdr:blipFill>
        <a:blip xmlns:r="http://schemas.openxmlformats.org/officeDocument/2006/relationships" r:embed="rId1"/>
        <a:stretch>
          <a:fillRect/>
        </a:stretch>
      </xdr:blipFill>
      <xdr:spPr>
        <a:xfrm>
          <a:off x="7238992" y="538568"/>
          <a:ext cx="4727805" cy="2812917"/>
        </a:xfrm>
        <a:prstGeom prst="rect">
          <a:avLst/>
        </a:prstGeom>
        <a:noFill/>
        <a:ln>
          <a:noFill/>
          <a:prstDash/>
        </a:ln>
      </xdr:spPr>
    </xdr:pic>
    <xdr:clientData/>
  </xdr:twoCellAnchor>
  <xdr:twoCellAnchor>
    <xdr:from>
      <xdr:col>8</xdr:col>
      <xdr:colOff>57443</xdr:colOff>
      <xdr:row>6</xdr:row>
      <xdr:rowOff>89880</xdr:rowOff>
    </xdr:from>
    <xdr:to>
      <xdr:col>9</xdr:col>
      <xdr:colOff>202223</xdr:colOff>
      <xdr:row>8</xdr:row>
      <xdr:rowOff>196950</xdr:rowOff>
    </xdr:to>
    <xdr:sp macro="" textlink="">
      <xdr:nvSpPr>
        <xdr:cNvPr id="3" name="Rectangle: Rounded Corners 2">
          <a:extLst>
            <a:ext uri="{FF2B5EF4-FFF2-40B4-BE49-F238E27FC236}">
              <a16:creationId xmlns:a16="http://schemas.microsoft.com/office/drawing/2014/main" id="{CD703E5B-2617-2606-7424-96893C87F363}"/>
            </a:ext>
          </a:extLst>
        </xdr:cNvPr>
        <xdr:cNvSpPr/>
      </xdr:nvSpPr>
      <xdr:spPr>
        <a:xfrm>
          <a:off x="9219028" y="1180126"/>
          <a:ext cx="748518" cy="470486"/>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0</xdr:col>
      <xdr:colOff>0</xdr:colOff>
      <xdr:row>0</xdr:row>
      <xdr:rowOff>0</xdr:rowOff>
    </xdr:from>
    <xdr:to>
      <xdr:col>7</xdr:col>
      <xdr:colOff>22860</xdr:colOff>
      <xdr:row>5</xdr:row>
      <xdr:rowOff>15240</xdr:rowOff>
    </xdr:to>
    <xdr:grpSp>
      <xdr:nvGrpSpPr>
        <xdr:cNvPr id="4" name="Group 3">
          <a:extLst>
            <a:ext uri="{FF2B5EF4-FFF2-40B4-BE49-F238E27FC236}">
              <a16:creationId xmlns:a16="http://schemas.microsoft.com/office/drawing/2014/main" id="{8C254EB3-AE11-4F10-8188-368832C03A61}"/>
            </a:ext>
          </a:extLst>
        </xdr:cNvPr>
        <xdr:cNvGrpSpPr/>
      </xdr:nvGrpSpPr>
      <xdr:grpSpPr>
        <a:xfrm>
          <a:off x="0" y="0"/>
          <a:ext cx="8580706" cy="923778"/>
          <a:chOff x="0" y="0"/>
          <a:chExt cx="8587740" cy="929640"/>
        </a:xfrm>
      </xdr:grpSpPr>
      <xdr:pic>
        <xdr:nvPicPr>
          <xdr:cNvPr id="5" name="Image 8">
            <a:extLst>
              <a:ext uri="{FF2B5EF4-FFF2-40B4-BE49-F238E27FC236}">
                <a16:creationId xmlns:a16="http://schemas.microsoft.com/office/drawing/2014/main" id="{5D5D8E42-0003-3569-02F3-F376FF05581A}"/>
              </a:ext>
            </a:extLst>
          </xdr:cNvPr>
          <xdr:cNvPicPr>
            <a:picLocks noChangeAspect="1"/>
          </xdr:cNvPicPr>
        </xdr:nvPicPr>
        <xdr:blipFill rotWithShape="1">
          <a:blip xmlns:r="http://schemas.openxmlformats.org/officeDocument/2006/relationships" r:embed="rId2"/>
          <a:srcRect r="47757" b="66961"/>
          <a:stretch/>
        </xdr:blipFill>
        <xdr:spPr>
          <a:xfrm>
            <a:off x="0" y="0"/>
            <a:ext cx="1959232" cy="929640"/>
          </a:xfrm>
          <a:prstGeom prst="rect">
            <a:avLst/>
          </a:prstGeom>
        </xdr:spPr>
      </xdr:pic>
      <xdr:sp macro="" textlink="">
        <xdr:nvSpPr>
          <xdr:cNvPr id="6" name="TextBox 5">
            <a:extLst>
              <a:ext uri="{FF2B5EF4-FFF2-40B4-BE49-F238E27FC236}">
                <a16:creationId xmlns:a16="http://schemas.microsoft.com/office/drawing/2014/main" id="{714763E9-AE41-9CCE-B807-441435BDF680}"/>
              </a:ext>
            </a:extLst>
          </xdr:cNvPr>
          <xdr:cNvSpPr txBox="1"/>
        </xdr:nvSpPr>
        <xdr:spPr>
          <a:xfrm>
            <a:off x="1287780" y="83820"/>
            <a:ext cx="483870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kern="1200"/>
              <a:t>Buddiepack Circularity Indicator</a:t>
            </a:r>
            <a:r>
              <a:rPr lang="en-GB" sz="2000" b="1" kern="1200" baseline="0"/>
              <a:t> Tool</a:t>
            </a:r>
            <a:endParaRPr lang="en-GB" sz="2000" b="1" kern="1200"/>
          </a:p>
        </xdr:txBody>
      </xdr:sp>
      <xdr:pic>
        <xdr:nvPicPr>
          <xdr:cNvPr id="7" name="Picture 6">
            <a:extLst>
              <a:ext uri="{FF2B5EF4-FFF2-40B4-BE49-F238E27FC236}">
                <a16:creationId xmlns:a16="http://schemas.microsoft.com/office/drawing/2014/main" id="{6C61615E-8319-A3DE-7BCD-92C3F1DC10E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03720" y="137161"/>
            <a:ext cx="1684020" cy="312370"/>
          </a:xfrm>
          <a:prstGeom prst="rect">
            <a:avLst/>
          </a:prstGeom>
        </xdr:spPr>
      </xdr:pic>
      <xdr:pic>
        <xdr:nvPicPr>
          <xdr:cNvPr id="8" name="Picture 7">
            <a:extLst>
              <a:ext uri="{FF2B5EF4-FFF2-40B4-BE49-F238E27FC236}">
                <a16:creationId xmlns:a16="http://schemas.microsoft.com/office/drawing/2014/main" id="{201A6ED8-857B-820E-0F37-638A17C3D42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90260" y="129540"/>
            <a:ext cx="876300" cy="2940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Image 8">
            <a:extLst>
              <a:ext uri="{FF2B5EF4-FFF2-40B4-BE49-F238E27FC236}">
                <a16:creationId xmlns:a16="http://schemas.microsoft.com/office/drawing/2014/main" id="{BCC6265E-3030-2995-642D-23DE6B964479}"/>
              </a:ext>
            </a:extLst>
          </xdr:cNvPr>
          <xdr:cNvPicPr/>
        </xdr:nvPicPr>
        <xdr:blipFill>
          <a:blip xmlns:r="http://schemas.openxmlformats.org/officeDocument/2006/relationships" r:embed="rId5"/>
          <a:stretch>
            <a:fillRect/>
          </a:stretch>
        </xdr:blipFill>
        <xdr:spPr>
          <a:xfrm>
            <a:off x="6314328" y="501261"/>
            <a:ext cx="1545540" cy="323023"/>
          </a:xfrm>
          <a:prstGeom prst="rect">
            <a:avLst/>
          </a:prstGeom>
          <a:noFill/>
          <a:ln>
            <a:noFill/>
            <a:prstDash/>
          </a:ln>
        </xdr:spPr>
      </xdr:pic>
      <xdr:sp macro="" textlink="">
        <xdr:nvSpPr>
          <xdr:cNvPr id="10" name="TextBox 9">
            <a:extLst>
              <a:ext uri="{FF2B5EF4-FFF2-40B4-BE49-F238E27FC236}">
                <a16:creationId xmlns:a16="http://schemas.microsoft.com/office/drawing/2014/main" id="{C7A3B486-0307-E085-2880-8E43ADD29A67}"/>
              </a:ext>
            </a:extLst>
          </xdr:cNvPr>
          <xdr:cNvSpPr txBox="1"/>
        </xdr:nvSpPr>
        <xdr:spPr>
          <a:xfrm>
            <a:off x="1897380" y="419100"/>
            <a:ext cx="303276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0" kern="1200"/>
              <a:t>Input 3: Value</a:t>
            </a:r>
          </a:p>
        </xdr:txBody>
      </xdr:sp>
    </xdr:grpSp>
    <xdr:clientData/>
  </xdr:twoCellAnchor>
  <xdr:twoCellAnchor editAs="oneCell">
    <xdr:from>
      <xdr:col>1</xdr:col>
      <xdr:colOff>1196340</xdr:colOff>
      <xdr:row>27</xdr:row>
      <xdr:rowOff>137160</xdr:rowOff>
    </xdr:from>
    <xdr:to>
      <xdr:col>4</xdr:col>
      <xdr:colOff>289560</xdr:colOff>
      <xdr:row>44</xdr:row>
      <xdr:rowOff>152400</xdr:rowOff>
    </xdr:to>
    <xdr:pic>
      <xdr:nvPicPr>
        <xdr:cNvPr id="15" name="Picture 14">
          <a:extLst>
            <a:ext uri="{FF2B5EF4-FFF2-40B4-BE49-F238E27FC236}">
              <a16:creationId xmlns:a16="http://schemas.microsoft.com/office/drawing/2014/main" id="{2A5FE309-D4A1-F3F4-5EC1-3550B343BB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05940" y="6499860"/>
          <a:ext cx="5250180"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68580</xdr:colOff>
      <xdr:row>2</xdr:row>
      <xdr:rowOff>167640</xdr:rowOff>
    </xdr:from>
    <xdr:to>
      <xdr:col>17</xdr:col>
      <xdr:colOff>554355</xdr:colOff>
      <xdr:row>18</xdr:row>
      <xdr:rowOff>60959</xdr:rowOff>
    </xdr:to>
    <xdr:pic>
      <xdr:nvPicPr>
        <xdr:cNvPr id="2" name="drawing">
          <a:extLst>
            <a:ext uri="{FF2B5EF4-FFF2-40B4-BE49-F238E27FC236}">
              <a16:creationId xmlns:a16="http://schemas.microsoft.com/office/drawing/2014/main" id="{915963D4-A972-4C70-8D1C-55A049B27FE3}"/>
            </a:ext>
          </a:extLst>
        </xdr:cNvPr>
        <xdr:cNvPicPr/>
      </xdr:nvPicPr>
      <xdr:blipFill>
        <a:blip xmlns:r="http://schemas.openxmlformats.org/officeDocument/2006/relationships" r:embed="rId1"/>
        <a:stretch>
          <a:fillRect/>
        </a:stretch>
      </xdr:blipFill>
      <xdr:spPr>
        <a:xfrm>
          <a:off x="7261860" y="533400"/>
          <a:ext cx="4752975" cy="2819399"/>
        </a:xfrm>
        <a:prstGeom prst="rect">
          <a:avLst/>
        </a:prstGeom>
        <a:noFill/>
        <a:ln>
          <a:noFill/>
          <a:prstDash/>
        </a:ln>
      </xdr:spPr>
    </xdr:pic>
    <xdr:clientData/>
  </xdr:twoCellAnchor>
  <xdr:twoCellAnchor>
    <xdr:from>
      <xdr:col>13</xdr:col>
      <xdr:colOff>243840</xdr:colOff>
      <xdr:row>13</xdr:row>
      <xdr:rowOff>53340</xdr:rowOff>
    </xdr:from>
    <xdr:to>
      <xdr:col>14</xdr:col>
      <xdr:colOff>403860</xdr:colOff>
      <xdr:row>15</xdr:row>
      <xdr:rowOff>129540</xdr:rowOff>
    </xdr:to>
    <xdr:sp macro="" textlink="">
      <xdr:nvSpPr>
        <xdr:cNvPr id="3" name="Rectangle: Rounded Corners 2">
          <a:extLst>
            <a:ext uri="{FF2B5EF4-FFF2-40B4-BE49-F238E27FC236}">
              <a16:creationId xmlns:a16="http://schemas.microsoft.com/office/drawing/2014/main" id="{FD81E8B2-6779-4CD2-9D1D-4138F3350012}"/>
            </a:ext>
          </a:extLst>
        </xdr:cNvPr>
        <xdr:cNvSpPr/>
      </xdr:nvSpPr>
      <xdr:spPr>
        <a:xfrm>
          <a:off x="9265920" y="2430780"/>
          <a:ext cx="769620" cy="441960"/>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0</xdr:col>
      <xdr:colOff>0</xdr:colOff>
      <xdr:row>0</xdr:row>
      <xdr:rowOff>0</xdr:rowOff>
    </xdr:from>
    <xdr:to>
      <xdr:col>12</xdr:col>
      <xdr:colOff>205740</xdr:colOff>
      <xdr:row>5</xdr:row>
      <xdr:rowOff>15240</xdr:rowOff>
    </xdr:to>
    <xdr:grpSp>
      <xdr:nvGrpSpPr>
        <xdr:cNvPr id="4" name="Group 3">
          <a:extLst>
            <a:ext uri="{FF2B5EF4-FFF2-40B4-BE49-F238E27FC236}">
              <a16:creationId xmlns:a16="http://schemas.microsoft.com/office/drawing/2014/main" id="{0B77B160-216C-49B6-BFFF-C1B8C6171F8B}"/>
            </a:ext>
          </a:extLst>
        </xdr:cNvPr>
        <xdr:cNvGrpSpPr/>
      </xdr:nvGrpSpPr>
      <xdr:grpSpPr>
        <a:xfrm>
          <a:off x="0" y="0"/>
          <a:ext cx="8546709" cy="923778"/>
          <a:chOff x="0" y="0"/>
          <a:chExt cx="8587740" cy="929640"/>
        </a:xfrm>
      </xdr:grpSpPr>
      <xdr:pic>
        <xdr:nvPicPr>
          <xdr:cNvPr id="5" name="Image 8">
            <a:extLst>
              <a:ext uri="{FF2B5EF4-FFF2-40B4-BE49-F238E27FC236}">
                <a16:creationId xmlns:a16="http://schemas.microsoft.com/office/drawing/2014/main" id="{A3E0E447-EEA0-C322-79AA-D8D059A06162}"/>
              </a:ext>
            </a:extLst>
          </xdr:cNvPr>
          <xdr:cNvPicPr>
            <a:picLocks noChangeAspect="1"/>
          </xdr:cNvPicPr>
        </xdr:nvPicPr>
        <xdr:blipFill rotWithShape="1">
          <a:blip xmlns:r="http://schemas.openxmlformats.org/officeDocument/2006/relationships" r:embed="rId2"/>
          <a:srcRect r="47757" b="66961"/>
          <a:stretch/>
        </xdr:blipFill>
        <xdr:spPr>
          <a:xfrm>
            <a:off x="0" y="0"/>
            <a:ext cx="1959232" cy="929640"/>
          </a:xfrm>
          <a:prstGeom prst="rect">
            <a:avLst/>
          </a:prstGeom>
        </xdr:spPr>
      </xdr:pic>
      <xdr:sp macro="" textlink="">
        <xdr:nvSpPr>
          <xdr:cNvPr id="6" name="TextBox 5">
            <a:extLst>
              <a:ext uri="{FF2B5EF4-FFF2-40B4-BE49-F238E27FC236}">
                <a16:creationId xmlns:a16="http://schemas.microsoft.com/office/drawing/2014/main" id="{6A85D260-0C11-8923-99C4-12300F1B5881}"/>
              </a:ext>
            </a:extLst>
          </xdr:cNvPr>
          <xdr:cNvSpPr txBox="1"/>
        </xdr:nvSpPr>
        <xdr:spPr>
          <a:xfrm>
            <a:off x="1287780" y="83820"/>
            <a:ext cx="483870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kern="1200"/>
              <a:t>Buddiepack Circularity Indicator</a:t>
            </a:r>
            <a:r>
              <a:rPr lang="en-GB" sz="2000" b="1" kern="1200" baseline="0"/>
              <a:t> Tool</a:t>
            </a:r>
            <a:endParaRPr lang="en-GB" sz="2000" b="1" kern="1200"/>
          </a:p>
        </xdr:txBody>
      </xdr:sp>
      <xdr:pic>
        <xdr:nvPicPr>
          <xdr:cNvPr id="7" name="Picture 6">
            <a:extLst>
              <a:ext uri="{FF2B5EF4-FFF2-40B4-BE49-F238E27FC236}">
                <a16:creationId xmlns:a16="http://schemas.microsoft.com/office/drawing/2014/main" id="{5BDF97E3-E926-0457-6091-FA9AC7C3E0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03720" y="137161"/>
            <a:ext cx="1684020" cy="312370"/>
          </a:xfrm>
          <a:prstGeom prst="rect">
            <a:avLst/>
          </a:prstGeom>
        </xdr:spPr>
      </xdr:pic>
      <xdr:pic>
        <xdr:nvPicPr>
          <xdr:cNvPr id="8" name="Picture 7">
            <a:extLst>
              <a:ext uri="{FF2B5EF4-FFF2-40B4-BE49-F238E27FC236}">
                <a16:creationId xmlns:a16="http://schemas.microsoft.com/office/drawing/2014/main" id="{F2C5AEAC-BCEE-8BA2-5E88-48ABC841FD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90260" y="129540"/>
            <a:ext cx="876300" cy="2940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Image 8">
            <a:extLst>
              <a:ext uri="{FF2B5EF4-FFF2-40B4-BE49-F238E27FC236}">
                <a16:creationId xmlns:a16="http://schemas.microsoft.com/office/drawing/2014/main" id="{3A0CBC17-7203-0F6C-79EC-25BDE9220D3F}"/>
              </a:ext>
            </a:extLst>
          </xdr:cNvPr>
          <xdr:cNvPicPr/>
        </xdr:nvPicPr>
        <xdr:blipFill>
          <a:blip xmlns:r="http://schemas.openxmlformats.org/officeDocument/2006/relationships" r:embed="rId5"/>
          <a:stretch>
            <a:fillRect/>
          </a:stretch>
        </xdr:blipFill>
        <xdr:spPr>
          <a:xfrm>
            <a:off x="6314328" y="501261"/>
            <a:ext cx="1545540" cy="323023"/>
          </a:xfrm>
          <a:prstGeom prst="rect">
            <a:avLst/>
          </a:prstGeom>
          <a:noFill/>
          <a:ln>
            <a:noFill/>
            <a:prstDash/>
          </a:ln>
        </xdr:spPr>
      </xdr:pic>
      <xdr:sp macro="" textlink="">
        <xdr:nvSpPr>
          <xdr:cNvPr id="10" name="TextBox 9">
            <a:extLst>
              <a:ext uri="{FF2B5EF4-FFF2-40B4-BE49-F238E27FC236}">
                <a16:creationId xmlns:a16="http://schemas.microsoft.com/office/drawing/2014/main" id="{C5B65776-CD92-366B-C25E-860F555E352E}"/>
              </a:ext>
            </a:extLst>
          </xdr:cNvPr>
          <xdr:cNvSpPr txBox="1"/>
        </xdr:nvSpPr>
        <xdr:spPr>
          <a:xfrm>
            <a:off x="1897380" y="419100"/>
            <a:ext cx="303276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0" kern="1200"/>
              <a:t>Input 4: Sustainable Development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523461</xdr:colOff>
      <xdr:row>6</xdr:row>
      <xdr:rowOff>59633</xdr:rowOff>
    </xdr:from>
    <xdr:to>
      <xdr:col>9</xdr:col>
      <xdr:colOff>139148</xdr:colOff>
      <xdr:row>21</xdr:row>
      <xdr:rowOff>13252</xdr:rowOff>
    </xdr:to>
    <xdr:sp macro="" textlink="">
      <xdr:nvSpPr>
        <xdr:cNvPr id="3" name="Rectangle: Rounded Corners 2">
          <a:extLst>
            <a:ext uri="{FF2B5EF4-FFF2-40B4-BE49-F238E27FC236}">
              <a16:creationId xmlns:a16="http://schemas.microsoft.com/office/drawing/2014/main" id="{101AD329-7B0A-52E4-5961-BDCD4BE638E5}"/>
            </a:ext>
          </a:extLst>
        </xdr:cNvPr>
        <xdr:cNvSpPr/>
      </xdr:nvSpPr>
      <xdr:spPr>
        <a:xfrm>
          <a:off x="5711687" y="1172816"/>
          <a:ext cx="2816087" cy="2736575"/>
        </a:xfrm>
        <a:prstGeom prst="roundRect">
          <a:avLst>
            <a:gd name="adj" fmla="val 5138"/>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kern="1200"/>
        </a:p>
      </xdr:txBody>
    </xdr:sp>
    <xdr:clientData/>
  </xdr:twoCellAnchor>
  <xdr:twoCellAnchor>
    <xdr:from>
      <xdr:col>0</xdr:col>
      <xdr:colOff>0</xdr:colOff>
      <xdr:row>0</xdr:row>
      <xdr:rowOff>0</xdr:rowOff>
    </xdr:from>
    <xdr:to>
      <xdr:col>9</xdr:col>
      <xdr:colOff>396240</xdr:colOff>
      <xdr:row>5</xdr:row>
      <xdr:rowOff>15240</xdr:rowOff>
    </xdr:to>
    <xdr:grpSp>
      <xdr:nvGrpSpPr>
        <xdr:cNvPr id="9" name="Group 8">
          <a:extLst>
            <a:ext uri="{FF2B5EF4-FFF2-40B4-BE49-F238E27FC236}">
              <a16:creationId xmlns:a16="http://schemas.microsoft.com/office/drawing/2014/main" id="{EB12F819-73AC-4C2F-8088-373DA52F1435}"/>
            </a:ext>
          </a:extLst>
        </xdr:cNvPr>
        <xdr:cNvGrpSpPr/>
      </xdr:nvGrpSpPr>
      <xdr:grpSpPr>
        <a:xfrm>
          <a:off x="0" y="0"/>
          <a:ext cx="8748932" cy="923778"/>
          <a:chOff x="0" y="0"/>
          <a:chExt cx="8587740" cy="929640"/>
        </a:xfrm>
      </xdr:grpSpPr>
      <xdr:pic>
        <xdr:nvPicPr>
          <xdr:cNvPr id="10" name="Image 8">
            <a:extLst>
              <a:ext uri="{FF2B5EF4-FFF2-40B4-BE49-F238E27FC236}">
                <a16:creationId xmlns:a16="http://schemas.microsoft.com/office/drawing/2014/main" id="{14F5B2DD-282A-B962-8E6E-0E260F0D1071}"/>
              </a:ext>
            </a:extLst>
          </xdr:cNvPr>
          <xdr:cNvPicPr>
            <a:picLocks noChangeAspect="1"/>
          </xdr:cNvPicPr>
        </xdr:nvPicPr>
        <xdr:blipFill rotWithShape="1">
          <a:blip xmlns:r="http://schemas.openxmlformats.org/officeDocument/2006/relationships" r:embed="rId1"/>
          <a:srcRect r="47757" b="66961"/>
          <a:stretch/>
        </xdr:blipFill>
        <xdr:spPr>
          <a:xfrm>
            <a:off x="0" y="0"/>
            <a:ext cx="1959232" cy="929640"/>
          </a:xfrm>
          <a:prstGeom prst="rect">
            <a:avLst/>
          </a:prstGeom>
        </xdr:spPr>
      </xdr:pic>
      <xdr:sp macro="" textlink="">
        <xdr:nvSpPr>
          <xdr:cNvPr id="11" name="TextBox 10">
            <a:extLst>
              <a:ext uri="{FF2B5EF4-FFF2-40B4-BE49-F238E27FC236}">
                <a16:creationId xmlns:a16="http://schemas.microsoft.com/office/drawing/2014/main" id="{D96E3ADB-63A9-64CE-48A1-2133518F04E7}"/>
              </a:ext>
            </a:extLst>
          </xdr:cNvPr>
          <xdr:cNvSpPr txBox="1"/>
        </xdr:nvSpPr>
        <xdr:spPr>
          <a:xfrm>
            <a:off x="1287780" y="83820"/>
            <a:ext cx="483870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kern="1200"/>
              <a:t>Buddiepack Circularity Indicator</a:t>
            </a:r>
            <a:r>
              <a:rPr lang="en-GB" sz="2000" b="1" kern="1200" baseline="0"/>
              <a:t> Tool</a:t>
            </a:r>
            <a:endParaRPr lang="en-GB" sz="2000" b="1" kern="1200"/>
          </a:p>
        </xdr:txBody>
      </xdr:sp>
      <xdr:pic>
        <xdr:nvPicPr>
          <xdr:cNvPr id="12" name="Picture 11">
            <a:extLst>
              <a:ext uri="{FF2B5EF4-FFF2-40B4-BE49-F238E27FC236}">
                <a16:creationId xmlns:a16="http://schemas.microsoft.com/office/drawing/2014/main" id="{2C4A1514-16BF-11F6-BA80-E5A369CD7C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03720" y="137161"/>
            <a:ext cx="1684020" cy="312370"/>
          </a:xfrm>
          <a:prstGeom prst="rect">
            <a:avLst/>
          </a:prstGeom>
        </xdr:spPr>
      </xdr:pic>
      <xdr:pic>
        <xdr:nvPicPr>
          <xdr:cNvPr id="13" name="Picture 12">
            <a:extLst>
              <a:ext uri="{FF2B5EF4-FFF2-40B4-BE49-F238E27FC236}">
                <a16:creationId xmlns:a16="http://schemas.microsoft.com/office/drawing/2014/main" id="{9FEB0811-B562-982E-1C11-3D694789D3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90260" y="129540"/>
            <a:ext cx="876300" cy="2940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Image 8">
            <a:extLst>
              <a:ext uri="{FF2B5EF4-FFF2-40B4-BE49-F238E27FC236}">
                <a16:creationId xmlns:a16="http://schemas.microsoft.com/office/drawing/2014/main" id="{37F444A0-90A3-A259-21E4-DA392B90DD95}"/>
              </a:ext>
            </a:extLst>
          </xdr:cNvPr>
          <xdr:cNvPicPr/>
        </xdr:nvPicPr>
        <xdr:blipFill>
          <a:blip xmlns:r="http://schemas.openxmlformats.org/officeDocument/2006/relationships" r:embed="rId4"/>
          <a:stretch>
            <a:fillRect/>
          </a:stretch>
        </xdr:blipFill>
        <xdr:spPr>
          <a:xfrm>
            <a:off x="6314328" y="501261"/>
            <a:ext cx="1545540" cy="323023"/>
          </a:xfrm>
          <a:prstGeom prst="rect">
            <a:avLst/>
          </a:prstGeom>
          <a:noFill/>
          <a:ln>
            <a:noFill/>
            <a:prstDash/>
          </a:ln>
        </xdr:spPr>
      </xdr:pic>
      <xdr:sp macro="" textlink="">
        <xdr:nvSpPr>
          <xdr:cNvPr id="15" name="TextBox 14">
            <a:extLst>
              <a:ext uri="{FF2B5EF4-FFF2-40B4-BE49-F238E27FC236}">
                <a16:creationId xmlns:a16="http://schemas.microsoft.com/office/drawing/2014/main" id="{F5508F08-0496-EA0E-15AC-B7BE885787FE}"/>
              </a:ext>
            </a:extLst>
          </xdr:cNvPr>
          <xdr:cNvSpPr txBox="1"/>
        </xdr:nvSpPr>
        <xdr:spPr>
          <a:xfrm>
            <a:off x="1897380" y="419100"/>
            <a:ext cx="303276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0" kern="1200"/>
              <a:t>Results:</a:t>
            </a:r>
          </a:p>
        </xdr:txBody>
      </xdr:sp>
    </xdr:grpSp>
    <xdr:clientData/>
  </xdr:twoCellAnchor>
  <xdr:twoCellAnchor editAs="oneCell">
    <xdr:from>
      <xdr:col>0</xdr:col>
      <xdr:colOff>121920</xdr:colOff>
      <xdr:row>6</xdr:row>
      <xdr:rowOff>114300</xdr:rowOff>
    </xdr:from>
    <xdr:to>
      <xdr:col>1</xdr:col>
      <xdr:colOff>1905000</xdr:colOff>
      <xdr:row>22</xdr:row>
      <xdr:rowOff>83820</xdr:rowOff>
    </xdr:to>
    <xdr:pic>
      <xdr:nvPicPr>
        <xdr:cNvPr id="16" name="drawing">
          <a:extLst>
            <a:ext uri="{FF2B5EF4-FFF2-40B4-BE49-F238E27FC236}">
              <a16:creationId xmlns:a16="http://schemas.microsoft.com/office/drawing/2014/main" id="{2AB12533-B6E6-4E8E-B48E-28C4D17F8B47}"/>
            </a:ext>
          </a:extLst>
        </xdr:cNvPr>
        <xdr:cNvPicPr/>
      </xdr:nvPicPr>
      <xdr:blipFill rotWithShape="1">
        <a:blip xmlns:r="http://schemas.openxmlformats.org/officeDocument/2006/relationships" r:embed="rId5"/>
        <a:srcRect l="25650" r="25334"/>
        <a:stretch/>
      </xdr:blipFill>
      <xdr:spPr>
        <a:xfrm>
          <a:off x="121920" y="1211580"/>
          <a:ext cx="2392680" cy="2895600"/>
        </a:xfrm>
        <a:prstGeom prst="rect">
          <a:avLst/>
        </a:prstGeom>
        <a:noFill/>
        <a:ln>
          <a:noFill/>
          <a:prstDash/>
        </a:ln>
      </xdr:spPr>
    </xdr:pic>
    <xdr:clientData/>
  </xdr:twoCellAnchor>
  <xdr:twoCellAnchor>
    <xdr:from>
      <xdr:col>2</xdr:col>
      <xdr:colOff>492869</xdr:colOff>
      <xdr:row>12</xdr:row>
      <xdr:rowOff>111164</xdr:rowOff>
    </xdr:from>
    <xdr:to>
      <xdr:col>2</xdr:col>
      <xdr:colOff>879567</xdr:colOff>
      <xdr:row>14</xdr:row>
      <xdr:rowOff>102254</xdr:rowOff>
    </xdr:to>
    <xdr:graphicFrame macro="">
      <xdr:nvGraphicFramePr>
        <xdr:cNvPr id="22" name="Chart 21">
          <a:extLst>
            <a:ext uri="{FF2B5EF4-FFF2-40B4-BE49-F238E27FC236}">
              <a16:creationId xmlns:a16="http://schemas.microsoft.com/office/drawing/2014/main" id="{3F886090-9E34-2DF7-0957-00485C67BF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492869</xdr:colOff>
      <xdr:row>9</xdr:row>
      <xdr:rowOff>5146</xdr:rowOff>
    </xdr:from>
    <xdr:to>
      <xdr:col>2</xdr:col>
      <xdr:colOff>879567</xdr:colOff>
      <xdr:row>10</xdr:row>
      <xdr:rowOff>181767</xdr:rowOff>
    </xdr:to>
    <xdr:graphicFrame macro="">
      <xdr:nvGraphicFramePr>
        <xdr:cNvPr id="25" name="Chart 24">
          <a:extLst>
            <a:ext uri="{FF2B5EF4-FFF2-40B4-BE49-F238E27FC236}">
              <a16:creationId xmlns:a16="http://schemas.microsoft.com/office/drawing/2014/main" id="{99205C69-5C47-7E47-5148-0A7F2FDF2F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492869</xdr:colOff>
      <xdr:row>6</xdr:row>
      <xdr:rowOff>95638</xdr:rowOff>
    </xdr:from>
    <xdr:to>
      <xdr:col>2</xdr:col>
      <xdr:colOff>879567</xdr:colOff>
      <xdr:row>8</xdr:row>
      <xdr:rowOff>89380</xdr:rowOff>
    </xdr:to>
    <xdr:graphicFrame macro="">
      <xdr:nvGraphicFramePr>
        <xdr:cNvPr id="26" name="Chart 25">
          <a:extLst>
            <a:ext uri="{FF2B5EF4-FFF2-40B4-BE49-F238E27FC236}">
              <a16:creationId xmlns:a16="http://schemas.microsoft.com/office/drawing/2014/main" id="{7657E1B7-CB8B-8834-6404-52525DDDAF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492869</xdr:colOff>
      <xdr:row>8</xdr:row>
      <xdr:rowOff>95639</xdr:rowOff>
    </xdr:from>
    <xdr:to>
      <xdr:col>2</xdr:col>
      <xdr:colOff>879567</xdr:colOff>
      <xdr:row>10</xdr:row>
      <xdr:rowOff>89380</xdr:rowOff>
    </xdr:to>
    <xdr:graphicFrame macro="">
      <xdr:nvGraphicFramePr>
        <xdr:cNvPr id="27" name="Chart 26">
          <a:extLst>
            <a:ext uri="{FF2B5EF4-FFF2-40B4-BE49-F238E27FC236}">
              <a16:creationId xmlns:a16="http://schemas.microsoft.com/office/drawing/2014/main" id="{0FB395C4-8F1C-4075-B628-DB52D03B8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492869</xdr:colOff>
      <xdr:row>10</xdr:row>
      <xdr:rowOff>95639</xdr:rowOff>
    </xdr:from>
    <xdr:to>
      <xdr:col>2</xdr:col>
      <xdr:colOff>879567</xdr:colOff>
      <xdr:row>12</xdr:row>
      <xdr:rowOff>89380</xdr:rowOff>
    </xdr:to>
    <xdr:graphicFrame macro="">
      <xdr:nvGraphicFramePr>
        <xdr:cNvPr id="28" name="Chart 27">
          <a:extLst>
            <a:ext uri="{FF2B5EF4-FFF2-40B4-BE49-F238E27FC236}">
              <a16:creationId xmlns:a16="http://schemas.microsoft.com/office/drawing/2014/main" id="{530A7947-DBFA-4FD1-8187-25704C0DBF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424593</xdr:colOff>
      <xdr:row>13</xdr:row>
      <xdr:rowOff>176645</xdr:rowOff>
    </xdr:from>
    <xdr:to>
      <xdr:col>2</xdr:col>
      <xdr:colOff>965269</xdr:colOff>
      <xdr:row>16</xdr:row>
      <xdr:rowOff>180549</xdr:rowOff>
    </xdr:to>
    <xdr:graphicFrame macro="">
      <xdr:nvGraphicFramePr>
        <xdr:cNvPr id="39" name="Chart 38">
          <a:extLst>
            <a:ext uri="{FF2B5EF4-FFF2-40B4-BE49-F238E27FC236}">
              <a16:creationId xmlns:a16="http://schemas.microsoft.com/office/drawing/2014/main" id="{CBDF6B71-264F-245E-8240-56DB428076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424593</xdr:colOff>
      <xdr:row>16</xdr:row>
      <xdr:rowOff>0</xdr:rowOff>
    </xdr:from>
    <xdr:to>
      <xdr:col>2</xdr:col>
      <xdr:colOff>965269</xdr:colOff>
      <xdr:row>19</xdr:row>
      <xdr:rowOff>3905</xdr:rowOff>
    </xdr:to>
    <xdr:graphicFrame macro="">
      <xdr:nvGraphicFramePr>
        <xdr:cNvPr id="41" name="Chart 40">
          <a:extLst>
            <a:ext uri="{FF2B5EF4-FFF2-40B4-BE49-F238E27FC236}">
              <a16:creationId xmlns:a16="http://schemas.microsoft.com/office/drawing/2014/main" id="{06749955-8FB2-2832-522D-C1A46B368E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424593</xdr:colOff>
      <xdr:row>18</xdr:row>
      <xdr:rowOff>6931</xdr:rowOff>
    </xdr:from>
    <xdr:to>
      <xdr:col>2</xdr:col>
      <xdr:colOff>965269</xdr:colOff>
      <xdr:row>21</xdr:row>
      <xdr:rowOff>10836</xdr:rowOff>
    </xdr:to>
    <xdr:graphicFrame macro="">
      <xdr:nvGraphicFramePr>
        <xdr:cNvPr id="42" name="Chart 41">
          <a:extLst>
            <a:ext uri="{FF2B5EF4-FFF2-40B4-BE49-F238E27FC236}">
              <a16:creationId xmlns:a16="http://schemas.microsoft.com/office/drawing/2014/main" id="{F12385C9-C9C0-A0A6-B264-BA3604FDC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410392</xdr:colOff>
      <xdr:row>27</xdr:row>
      <xdr:rowOff>7620</xdr:rowOff>
    </xdr:from>
    <xdr:to>
      <xdr:col>2</xdr:col>
      <xdr:colOff>951068</xdr:colOff>
      <xdr:row>30</xdr:row>
      <xdr:rowOff>3904</xdr:rowOff>
    </xdr:to>
    <xdr:graphicFrame macro="">
      <xdr:nvGraphicFramePr>
        <xdr:cNvPr id="43" name="Chart 42">
          <a:extLst>
            <a:ext uri="{FF2B5EF4-FFF2-40B4-BE49-F238E27FC236}">
              <a16:creationId xmlns:a16="http://schemas.microsoft.com/office/drawing/2014/main" id="{B5EF8094-FBFE-4B4E-980A-305FBD4E1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410392</xdr:colOff>
      <xdr:row>29</xdr:row>
      <xdr:rowOff>6235</xdr:rowOff>
    </xdr:from>
    <xdr:to>
      <xdr:col>2</xdr:col>
      <xdr:colOff>951068</xdr:colOff>
      <xdr:row>32</xdr:row>
      <xdr:rowOff>10140</xdr:rowOff>
    </xdr:to>
    <xdr:graphicFrame macro="">
      <xdr:nvGraphicFramePr>
        <xdr:cNvPr id="44" name="Chart 43">
          <a:extLst>
            <a:ext uri="{FF2B5EF4-FFF2-40B4-BE49-F238E27FC236}">
              <a16:creationId xmlns:a16="http://schemas.microsoft.com/office/drawing/2014/main" id="{ACB7F229-6B82-4B4E-987D-37128563A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411480</xdr:colOff>
      <xdr:row>31</xdr:row>
      <xdr:rowOff>0</xdr:rowOff>
    </xdr:from>
    <xdr:to>
      <xdr:col>2</xdr:col>
      <xdr:colOff>952156</xdr:colOff>
      <xdr:row>34</xdr:row>
      <xdr:rowOff>3904</xdr:rowOff>
    </xdr:to>
    <xdr:graphicFrame macro="">
      <xdr:nvGraphicFramePr>
        <xdr:cNvPr id="45" name="Chart 44">
          <a:extLst>
            <a:ext uri="{FF2B5EF4-FFF2-40B4-BE49-F238E27FC236}">
              <a16:creationId xmlns:a16="http://schemas.microsoft.com/office/drawing/2014/main" id="{B41DED93-948F-482D-A8B9-EA2F261D4D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411480</xdr:colOff>
      <xdr:row>33</xdr:row>
      <xdr:rowOff>6235</xdr:rowOff>
    </xdr:from>
    <xdr:to>
      <xdr:col>2</xdr:col>
      <xdr:colOff>952156</xdr:colOff>
      <xdr:row>36</xdr:row>
      <xdr:rowOff>10140</xdr:rowOff>
    </xdr:to>
    <xdr:graphicFrame macro="">
      <xdr:nvGraphicFramePr>
        <xdr:cNvPr id="46" name="Chart 45">
          <a:extLst>
            <a:ext uri="{FF2B5EF4-FFF2-40B4-BE49-F238E27FC236}">
              <a16:creationId xmlns:a16="http://schemas.microsoft.com/office/drawing/2014/main" id="{28134F9B-171D-4CF3-A450-0959F091B3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410392</xdr:colOff>
      <xdr:row>35</xdr:row>
      <xdr:rowOff>8708</xdr:rowOff>
    </xdr:from>
    <xdr:to>
      <xdr:col>2</xdr:col>
      <xdr:colOff>951068</xdr:colOff>
      <xdr:row>38</xdr:row>
      <xdr:rowOff>12612</xdr:rowOff>
    </xdr:to>
    <xdr:graphicFrame macro="">
      <xdr:nvGraphicFramePr>
        <xdr:cNvPr id="47" name="Chart 46">
          <a:extLst>
            <a:ext uri="{FF2B5EF4-FFF2-40B4-BE49-F238E27FC236}">
              <a16:creationId xmlns:a16="http://schemas.microsoft.com/office/drawing/2014/main" id="{0DD5293E-DD78-47FC-96B1-D9CC62141F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410392</xdr:colOff>
      <xdr:row>37</xdr:row>
      <xdr:rowOff>14943</xdr:rowOff>
    </xdr:from>
    <xdr:to>
      <xdr:col>2</xdr:col>
      <xdr:colOff>951068</xdr:colOff>
      <xdr:row>40</xdr:row>
      <xdr:rowOff>18848</xdr:rowOff>
    </xdr:to>
    <xdr:graphicFrame macro="">
      <xdr:nvGraphicFramePr>
        <xdr:cNvPr id="48" name="Chart 47">
          <a:extLst>
            <a:ext uri="{FF2B5EF4-FFF2-40B4-BE49-F238E27FC236}">
              <a16:creationId xmlns:a16="http://schemas.microsoft.com/office/drawing/2014/main" id="{1FB07BBC-2C80-4C3C-BB42-EC0DF65A83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411480</xdr:colOff>
      <xdr:row>39</xdr:row>
      <xdr:rowOff>8708</xdr:rowOff>
    </xdr:from>
    <xdr:to>
      <xdr:col>2</xdr:col>
      <xdr:colOff>952156</xdr:colOff>
      <xdr:row>42</xdr:row>
      <xdr:rowOff>12612</xdr:rowOff>
    </xdr:to>
    <xdr:graphicFrame macro="">
      <xdr:nvGraphicFramePr>
        <xdr:cNvPr id="49" name="Chart 48">
          <a:extLst>
            <a:ext uri="{FF2B5EF4-FFF2-40B4-BE49-F238E27FC236}">
              <a16:creationId xmlns:a16="http://schemas.microsoft.com/office/drawing/2014/main" id="{CE8D76D7-CF11-4969-B2A6-9821B616FC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411480</xdr:colOff>
      <xdr:row>41</xdr:row>
      <xdr:rowOff>14943</xdr:rowOff>
    </xdr:from>
    <xdr:to>
      <xdr:col>2</xdr:col>
      <xdr:colOff>952156</xdr:colOff>
      <xdr:row>44</xdr:row>
      <xdr:rowOff>18848</xdr:rowOff>
    </xdr:to>
    <xdr:graphicFrame macro="">
      <xdr:nvGraphicFramePr>
        <xdr:cNvPr id="50" name="Chart 49">
          <a:extLst>
            <a:ext uri="{FF2B5EF4-FFF2-40B4-BE49-F238E27FC236}">
              <a16:creationId xmlns:a16="http://schemas.microsoft.com/office/drawing/2014/main" id="{7D336A57-DE82-4AD2-9BB3-58918C2E2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1166190</xdr:colOff>
      <xdr:row>14</xdr:row>
      <xdr:rowOff>119269</xdr:rowOff>
    </xdr:from>
    <xdr:to>
      <xdr:col>2</xdr:col>
      <xdr:colOff>1530625</xdr:colOff>
      <xdr:row>20</xdr:row>
      <xdr:rowOff>59633</xdr:rowOff>
    </xdr:to>
    <xdr:sp macro="" textlink="">
      <xdr:nvSpPr>
        <xdr:cNvPr id="52" name="Right Brace 51">
          <a:extLst>
            <a:ext uri="{FF2B5EF4-FFF2-40B4-BE49-F238E27FC236}">
              <a16:creationId xmlns:a16="http://schemas.microsoft.com/office/drawing/2014/main" id="{749ECDD1-F67C-D9D2-597F-0998555975F9}"/>
            </a:ext>
          </a:extLst>
        </xdr:cNvPr>
        <xdr:cNvSpPr/>
      </xdr:nvSpPr>
      <xdr:spPr>
        <a:xfrm>
          <a:off x="3717233" y="2716695"/>
          <a:ext cx="364435" cy="1053547"/>
        </a:xfrm>
        <a:prstGeom prst="rightBrace">
          <a:avLst/>
        </a:prstGeom>
        <a:ln w="6350">
          <a:solidFill>
            <a:sysClr val="windowText" lastClr="0000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GB" sz="1100" kern="1200"/>
        </a:p>
      </xdr:txBody>
    </xdr:sp>
    <xdr:clientData/>
  </xdr:twoCellAnchor>
  <xdr:twoCellAnchor>
    <xdr:from>
      <xdr:col>2</xdr:col>
      <xdr:colOff>1166190</xdr:colOff>
      <xdr:row>6</xdr:row>
      <xdr:rowOff>92764</xdr:rowOff>
    </xdr:from>
    <xdr:to>
      <xdr:col>2</xdr:col>
      <xdr:colOff>1530625</xdr:colOff>
      <xdr:row>14</xdr:row>
      <xdr:rowOff>46382</xdr:rowOff>
    </xdr:to>
    <xdr:sp macro="" textlink="">
      <xdr:nvSpPr>
        <xdr:cNvPr id="53" name="Right Brace 52">
          <a:extLst>
            <a:ext uri="{FF2B5EF4-FFF2-40B4-BE49-F238E27FC236}">
              <a16:creationId xmlns:a16="http://schemas.microsoft.com/office/drawing/2014/main" id="{66001966-9C80-3C3C-D266-850DB6502EE3}"/>
            </a:ext>
          </a:extLst>
        </xdr:cNvPr>
        <xdr:cNvSpPr/>
      </xdr:nvSpPr>
      <xdr:spPr>
        <a:xfrm>
          <a:off x="3717233" y="1205947"/>
          <a:ext cx="364435" cy="1437861"/>
        </a:xfrm>
        <a:prstGeom prst="rightBrace">
          <a:avLst/>
        </a:prstGeom>
        <a:ln w="6350">
          <a:solidFill>
            <a:sysClr val="windowText" lastClr="0000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GB" sz="1100" kern="1200"/>
        </a:p>
      </xdr:txBody>
    </xdr:sp>
    <xdr:clientData/>
  </xdr:twoCellAnchor>
  <xdr:twoCellAnchor>
    <xdr:from>
      <xdr:col>2</xdr:col>
      <xdr:colOff>1523999</xdr:colOff>
      <xdr:row>7</xdr:row>
      <xdr:rowOff>66262</xdr:rowOff>
    </xdr:from>
    <xdr:to>
      <xdr:col>4</xdr:col>
      <xdr:colOff>152399</xdr:colOff>
      <xdr:row>12</xdr:row>
      <xdr:rowOff>33132</xdr:rowOff>
    </xdr:to>
    <xdr:sp macro="" textlink="">
      <xdr:nvSpPr>
        <xdr:cNvPr id="2" name="TextBox 1">
          <a:extLst>
            <a:ext uri="{FF2B5EF4-FFF2-40B4-BE49-F238E27FC236}">
              <a16:creationId xmlns:a16="http://schemas.microsoft.com/office/drawing/2014/main" id="{58DD880C-6679-4D83-5CFD-A59B14899190}"/>
            </a:ext>
          </a:extLst>
        </xdr:cNvPr>
        <xdr:cNvSpPr txBox="1"/>
      </xdr:nvSpPr>
      <xdr:spPr>
        <a:xfrm>
          <a:off x="4075042" y="1364975"/>
          <a:ext cx="1265583" cy="89452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900" b="1" kern="1200"/>
            <a:t>0-1 values:</a:t>
          </a:r>
        </a:p>
        <a:p>
          <a:pPr algn="ctr"/>
          <a:r>
            <a:rPr lang="en-GB" sz="900" kern="1200"/>
            <a:t>Values closer to 1 indicate high performance, values closer to 0 indicate low performance.</a:t>
          </a:r>
        </a:p>
      </xdr:txBody>
    </xdr:sp>
    <xdr:clientData/>
  </xdr:twoCellAnchor>
  <xdr:twoCellAnchor>
    <xdr:from>
      <xdr:col>2</xdr:col>
      <xdr:colOff>1524001</xdr:colOff>
      <xdr:row>13</xdr:row>
      <xdr:rowOff>46383</xdr:rowOff>
    </xdr:from>
    <xdr:to>
      <xdr:col>4</xdr:col>
      <xdr:colOff>185531</xdr:colOff>
      <xdr:row>23</xdr:row>
      <xdr:rowOff>112643</xdr:rowOff>
    </xdr:to>
    <xdr:sp macro="" textlink="">
      <xdr:nvSpPr>
        <xdr:cNvPr id="7169" name="Text Box 1">
          <a:extLst>
            <a:ext uri="{FF2B5EF4-FFF2-40B4-BE49-F238E27FC236}">
              <a16:creationId xmlns:a16="http://schemas.microsoft.com/office/drawing/2014/main" id="{7BB06AF9-C32D-0C2E-9014-7C765B37F9F4}"/>
            </a:ext>
          </a:extLst>
        </xdr:cNvPr>
        <xdr:cNvSpPr txBox="1">
          <a:spLocks noChangeArrowheads="1"/>
        </xdr:cNvSpPr>
      </xdr:nvSpPr>
      <xdr:spPr bwMode="auto">
        <a:xfrm>
          <a:off x="4075044" y="2458279"/>
          <a:ext cx="1298713" cy="1921564"/>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ctr" rtl="0">
            <a:defRPr sz="1000"/>
          </a:pPr>
          <a:r>
            <a:rPr lang="en-GB" sz="900" b="1" i="0" u="none" strike="noStrike" baseline="0">
              <a:solidFill>
                <a:srgbClr val="000000"/>
              </a:solidFill>
              <a:latin typeface="Aptos Narrow"/>
            </a:rPr>
            <a:t>Break-even points:</a:t>
          </a:r>
        </a:p>
        <a:p>
          <a:pPr algn="ctr" rtl="0">
            <a:defRPr sz="1000"/>
          </a:pPr>
          <a:r>
            <a:rPr lang="en-GB" sz="900" b="0" i="0" u="none" strike="noStrike" baseline="0">
              <a:solidFill>
                <a:srgbClr val="000000"/>
              </a:solidFill>
              <a:latin typeface="Aptos Narrow"/>
            </a:rPr>
            <a:t>Numbers indicate the uses of the reusable product required to perform better than the single-use product.</a:t>
          </a:r>
        </a:p>
        <a:p>
          <a:pPr algn="ctr" rtl="0">
            <a:defRPr sz="1000"/>
          </a:pPr>
          <a:r>
            <a:rPr lang="en-GB" sz="900" b="0" i="0" u="none" strike="noStrike" baseline="0">
              <a:solidFill>
                <a:srgbClr val="000000"/>
              </a:solidFill>
              <a:latin typeface="Aptos Narrow"/>
            </a:rPr>
            <a:t>Green indicates that the current project achieves this, red indicates that it does not.</a:t>
          </a:r>
        </a:p>
        <a:p>
          <a:pPr algn="ctr" rtl="0">
            <a:defRPr sz="1000"/>
          </a:pPr>
          <a:r>
            <a:rPr lang="en-GB" sz="900" b="0" i="0" u="none" strike="noStrike" baseline="0">
              <a:solidFill>
                <a:srgbClr val="000000"/>
              </a:solidFill>
              <a:latin typeface="Aptos Narrow"/>
            </a:rPr>
            <a:t>Median environmental impact BEP is shown, full results are below.</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22</xdr:col>
      <xdr:colOff>304800</xdr:colOff>
      <xdr:row>38</xdr:row>
      <xdr:rowOff>83820</xdr:rowOff>
    </xdr:from>
    <xdr:to>
      <xdr:col>27</xdr:col>
      <xdr:colOff>243840</xdr:colOff>
      <xdr:row>47</xdr:row>
      <xdr:rowOff>49530</xdr:rowOff>
    </xdr:to>
    <xdr:graphicFrame macro="">
      <xdr:nvGraphicFramePr>
        <xdr:cNvPr id="3" name="Chart 2">
          <a:extLst>
            <a:ext uri="{FF2B5EF4-FFF2-40B4-BE49-F238E27FC236}">
              <a16:creationId xmlns:a16="http://schemas.microsoft.com/office/drawing/2014/main" id="{6D404C71-5221-342E-8314-19399B19FA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1123950</xdr:colOff>
      <xdr:row>31</xdr:row>
      <xdr:rowOff>0</xdr:rowOff>
    </xdr:from>
    <xdr:to>
      <xdr:col>5</xdr:col>
      <xdr:colOff>1559378</xdr:colOff>
      <xdr:row>43</xdr:row>
      <xdr:rowOff>5442</xdr:rowOff>
    </xdr:to>
    <xdr:graphicFrame macro="">
      <xdr:nvGraphicFramePr>
        <xdr:cNvPr id="2" name="Graphique 8">
          <a:extLst>
            <a:ext uri="{FF2B5EF4-FFF2-40B4-BE49-F238E27FC236}">
              <a16:creationId xmlns:a16="http://schemas.microsoft.com/office/drawing/2014/main" id="{422C359C-954F-4D1B-8C22-1739E47939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0</xdr:colOff>
      <xdr:row>15</xdr:row>
      <xdr:rowOff>0</xdr:rowOff>
    </xdr:from>
    <xdr:to>
      <xdr:col>14</xdr:col>
      <xdr:colOff>304800</xdr:colOff>
      <xdr:row>15</xdr:row>
      <xdr:rowOff>310242</xdr:rowOff>
    </xdr:to>
    <xdr:sp macro="" textlink="">
      <xdr:nvSpPr>
        <xdr:cNvPr id="3" name="AutoShape 6" descr="A modern color palette for an Excel dashboard. The palette includes:&#10;&#10;- Deep navy blue (#1B263B) for primary headers and navigation.&#10;- Vibrant teal (#1F7A8C) for key data highlights.&#10;- Soft mint green (#A8E6CF) for positive trends and background accents.&#10;- Warm coral (#FF6B6B) for alerts and critical information.&#10;- Muted gold (#FFC857) for important metrics and callouts.&#10;- Light gray (#F4F4F4) for neutral background elements.&#10;&#10;The image should display these colors in a sleek, organized layout, such as a modern color swatch or dashboard-themed arrangement.">
          <a:extLst>
            <a:ext uri="{FF2B5EF4-FFF2-40B4-BE49-F238E27FC236}">
              <a16:creationId xmlns:a16="http://schemas.microsoft.com/office/drawing/2014/main" id="{AC3FA339-49C7-4D59-BE43-0C9ED915466A}"/>
            </a:ext>
          </a:extLst>
        </xdr:cNvPr>
        <xdr:cNvSpPr>
          <a:spLocks noChangeAspect="1" noChangeArrowheads="1"/>
        </xdr:cNvSpPr>
      </xdr:nvSpPr>
      <xdr:spPr bwMode="auto">
        <a:xfrm>
          <a:off x="22189440" y="4206240"/>
          <a:ext cx="304800" cy="31024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1921329</xdr:colOff>
      <xdr:row>30</xdr:row>
      <xdr:rowOff>146958</xdr:rowOff>
    </xdr:from>
    <xdr:to>
      <xdr:col>12</xdr:col>
      <xdr:colOff>726621</xdr:colOff>
      <xdr:row>43</xdr:row>
      <xdr:rowOff>0</xdr:rowOff>
    </xdr:to>
    <xdr:graphicFrame macro="">
      <xdr:nvGraphicFramePr>
        <xdr:cNvPr id="4" name="Graphique 4">
          <a:extLst>
            <a:ext uri="{FF2B5EF4-FFF2-40B4-BE49-F238E27FC236}">
              <a16:creationId xmlns:a16="http://schemas.microsoft.com/office/drawing/2014/main" id="{1066C765-3A6E-4B4E-80EC-A7A857B20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tipc0-my.sharepoint.com/personal/damien_giraud_ct-ipc_com1/Documents/Bureau/PFR%20Damien/travail/matrice%20indicateur%20PMCB%20-%20DGiraud%20v3.xlsx" TargetMode="External"/><Relationship Id="rId1" Type="http://schemas.openxmlformats.org/officeDocument/2006/relationships/externalLinkPath" Target="https://ctipc0-my.sharepoint.com/personal/damien_giraud_ct-ipc_com1/Documents/Bureau/PFR%20Damien/travail/matrice%20indicateur%20PMCB%20-%20DGiraud%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Bf"/>
      <sheetName val="aggrégation"/>
      <sheetName val="cout"/>
      <sheetName val="valeurs"/>
      <sheetName val="HHI"/>
      <sheetName val="basepirescénario"/>
      <sheetName val="basemat"/>
      <sheetName val="baseprocess"/>
      <sheetName val="basecoll"/>
      <sheetName val="baseF2V"/>
      <sheetName val="basevalo"/>
      <sheetName val="baseINSEE"/>
      <sheetName val="basetransp"/>
      <sheetName val="baseH2O"/>
      <sheetName val="baseNRJ"/>
      <sheetName val="CFF calcul"/>
      <sheetName val="NRJ method"/>
      <sheetName val="comparatif landfill"/>
      <sheetName val="vulgarisation"/>
      <sheetName val="choix indicateurs"/>
      <sheetName val="liste"/>
      <sheetName val="constituants TP"/>
      <sheetName val="collectabilité"/>
      <sheetName val="fonction"/>
      <sheetName val="substanceEVAL"/>
      <sheetName val="subdanger"/>
      <sheetName val="FDES produit"/>
      <sheetName val="FDES"/>
      <sheetName val="rad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3">
          <cell r="A33" t="str">
            <v>Enveloppe</v>
          </cell>
          <cell r="B33" t="str">
            <v>Structure</v>
          </cell>
          <cell r="C33" t="str">
            <v>Equipement_Réseau</v>
          </cell>
          <cell r="D33" t="str">
            <v>Revêtement</v>
          </cell>
          <cell r="E33" t="str">
            <v>Eau</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persons/person.xml><?xml version="1.0" encoding="utf-8"?>
<personList xmlns="http://schemas.microsoft.com/office/spreadsheetml/2018/threadedcomments" xmlns:x="http://schemas.openxmlformats.org/spreadsheetml/2006/main">
  <person displayName="Stuart Walker" id="{4DF44C1C-027C-48D8-A0B0-8C3769E2A545}" userId="S::s.r.walker@sheffield.ac.uk::af807e32-9e0b-4c81-af74-0d4f6308981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U13" dT="2025-08-26T07:09:22.57" personId="{4DF44C1C-027C-48D8-A0B0-8C3769E2A545}" id="{87CD807D-B2A4-4415-B88D-1AD5FC33235B}">
    <text>Reversed these as we think they were wrong - but do some tests to check!</text>
  </threadedComment>
</ThreadedComments>
</file>

<file path=xl/threadedComments/threadedComment2.xml><?xml version="1.0" encoding="utf-8"?>
<ThreadedComments xmlns="http://schemas.microsoft.com/office/spreadsheetml/2018/threadedcomments" xmlns:x="http://schemas.openxmlformats.org/spreadsheetml/2006/main">
  <threadedComment ref="E3" dT="2025-08-26T07:28:29.61" personId="{4DF44C1C-027C-48D8-A0B0-8C3769E2A545}" id="{7A8F4EB8-4037-42D5-A3EF-B0B23A8463BC}">
    <text>volume is used to calculate washing impact</text>
  </threadedComment>
  <threadedComment ref="G3" dT="2025-08-26T07:28:44.29" personId="{4DF44C1C-027C-48D8-A0B0-8C3769E2A545}" id="{FCD9DC5B-8074-4434-BFF8-A5987E70F5B5}">
    <text>Add into input tab</text>
  </threadedComment>
  <threadedComment ref="D9" dT="2025-08-26T07:28:59.75" personId="{4DF44C1C-027C-48D8-A0B0-8C3769E2A545}" id="{22A9218F-7E4B-4069-8280-36DC44242115}">
    <text>Add into input tab</text>
  </threadedComment>
  <threadedComment ref="F13" dT="2025-08-26T07:29:11.62" personId="{4DF44C1C-027C-48D8-A0B0-8C3769E2A545}" id="{A536D525-BCB0-47FD-BFF5-1E7EF7A65CAB}">
    <text xml:space="preserve">Add into input tab
</text>
  </threadedComment>
</ThreadedComments>
</file>

<file path=xl/threadedComments/threadedComment3.xml><?xml version="1.0" encoding="utf-8"?>
<ThreadedComments xmlns="http://schemas.microsoft.com/office/spreadsheetml/2018/threadedcomments" xmlns:x="http://schemas.openxmlformats.org/spreadsheetml/2006/main">
  <threadedComment ref="T3" dT="2025-08-18T09:02:03.88" personId="{4DF44C1C-027C-48D8-A0B0-8C3769E2A545}" id="{DE8E4BA2-E6CA-4871-88ED-0D9E647E1039}">
    <text>I copied and pasted as values, but originally these values were from ='https://ctipc0-my.sharepoint.com/personal/damien_giraud_ct-ipc_com1/Documents/Bureau/PFR Damien/travail/[matrice indicateur PMCB - DGiraud v3.xlsx]baseF2V'!
the first value was from cell AZ5 of that sheet, then they went down (AZ6, AZ7…)
Next set started G5, then AP5, then AF5, then the last two sets come from DGbase in this workbook</text>
    <extLst>
      <x:ext xmlns:xltc2="http://schemas.microsoft.com/office/spreadsheetml/2020/threadedcomments2" uri="{F7C98A9C-CBB3-438F-8F68-D28B6AF4A901}">
        <xltc2:checksum>533149718</xltc2:checksum>
        <xltc2:hyperlink startIndex="71" length="112" url="https://ctipc0-my.sharepoint.com/personal/damien_giraud_ct-ipc_com1/Documents/Bureau/PFR Damien/travail/[matrice"/>
      </x:ext>
    </extLst>
  </threadedComment>
</ThreadedComments>
</file>

<file path=xl/threadedComments/threadedComment4.xml><?xml version="1.0" encoding="utf-8"?>
<ThreadedComments xmlns="http://schemas.microsoft.com/office/spreadsheetml/2018/threadedcomments" xmlns:x="http://schemas.openxmlformats.org/spreadsheetml/2006/main">
  <threadedComment ref="C19" dT="2025-08-19T08:47:02.78" personId="{4DF44C1C-027C-48D8-A0B0-8C3769E2A545}" id="{ACE6D786-952A-4212-9B3C-4943EC6E3A00}">
    <text>This was 'https://ctipc0-my.sharepoint.com/personal/damien_giraud_ct-ipc_com1/Documents/Bureau/PFR Damien/travail/[matrice indicateur PMCB - DGiraud v3.xlsx]baseH2O'!EN2</text>
    <extLst>
      <x:ext xmlns:xltc2="http://schemas.microsoft.com/office/spreadsheetml/2020/threadedcomments2" uri="{F7C98A9C-CBB3-438F-8F68-D28B6AF4A901}">
        <xltc2:checksum>1520455760</xltc2:checksum>
        <xltc2:hyperlink startIndex="10" length="112" url="https://ctipc0-my.sharepoint.com/personal/damien_giraud_ct-ipc_com1/Documents/Bureau/PFR Damien/travail/[matrice"/>
      </x:ext>
    </extLst>
  </threadedComment>
  <threadedComment ref="D19" dT="2025-08-19T08:47:52.43" personId="{4DF44C1C-027C-48D8-A0B0-8C3769E2A545}" id="{20F38E03-C5E7-4743-94EE-68F5DC2EE0AC}">
    <text>This was 'https://ctipc0-my.sharepoint.com/personal/damien_giraud_ct-ipc_com1/Documents/Bureau/PFR Damien/travail/[matrice indicateur PMCB - DGiraud v3.xlsx]baseH2O'!EP2</text>
    <extLst>
      <x:ext xmlns:xltc2="http://schemas.microsoft.com/office/spreadsheetml/2020/threadedcomments2" uri="{F7C98A9C-CBB3-438F-8F68-D28B6AF4A901}">
        <xltc2:checksum>815814548</xltc2:checksum>
        <xltc2:hyperlink startIndex="10" length="112" url="https://ctipc0-my.sharepoint.com/personal/damien_giraud_ct-ipc_com1/Documents/Bureau/PFR Damien/travail/[matrice"/>
      </x:ext>
    </extLs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hyperlink" Target="https://www.papstar-shop.fr/panier-repas-carton-3-compartiments-600-ml-5-cm-x-14-8-cm-x-18-3-cm-marron-37039.htm?utm_source=google&amp;utm_medium=cpc&amp;utm_id=22525146233&amp;utm_campaign=Performance%20Max%20-%20mittlere%20Marge&amp;utm_adgroupid=&amp;utm_adgroupname=&amp;utm_accountid=140-151-1330&amp;utm_term=&amp;utm_network=x&amp;gad_source=5&amp;gad_campaignid=22518712539&amp;gclid=EAIaIQobChMIw6jByvyqjgMVAKODBx3kkzevEAQYASABEgKSNfD_BwE"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bin"/><Relationship Id="rId5" Type="http://schemas.microsoft.com/office/2017/10/relationships/threadedComment" Target="../threadedComments/threadedComment2.xml"/><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2.bin"/><Relationship Id="rId5" Type="http://schemas.microsoft.com/office/2017/10/relationships/threadedComment" Target="../threadedComments/threadedComment3.xml"/><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actu-environnement.com/ae/news/ademe-etude-modecom-caracterisation-poubelles-37242.php4" TargetMode="Externa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5.bin"/><Relationship Id="rId4" Type="http://schemas.microsoft.com/office/2017/10/relationships/threadedComment" Target="../threadedComments/threadedComment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0AEC4-1EA2-40DD-BEFE-A23E076D5358}">
  <dimension ref="B6:R24"/>
  <sheetViews>
    <sheetView showGridLines="0" showRowColHeaders="0" tabSelected="1" workbookViewId="0">
      <selection activeCell="B2" sqref="B2"/>
    </sheetView>
  </sheetViews>
  <sheetFormatPr defaultColWidth="8.77734375" defaultRowHeight="14.4" x14ac:dyDescent="0.3"/>
  <sheetData>
    <row r="6" spans="2:2" x14ac:dyDescent="0.3">
      <c r="B6" t="s">
        <v>795</v>
      </c>
    </row>
    <row r="24" spans="18:18" x14ac:dyDescent="0.3">
      <c r="R24" s="421" t="s">
        <v>775</v>
      </c>
    </row>
  </sheetData>
  <hyperlinks>
    <hyperlink ref="R24" location="'Input - Life Cycle Information'!A1" display="Start here →" xr:uid="{8E4B7E8F-C90D-48DA-9CAB-0DE9353F8838}"/>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3D5E6-A669-4997-BB81-6F83A4C000C1}">
  <dimension ref="A1:P22"/>
  <sheetViews>
    <sheetView workbookViewId="0">
      <selection activeCell="M24" sqref="M24"/>
    </sheetView>
  </sheetViews>
  <sheetFormatPr defaultColWidth="8.77734375" defaultRowHeight="14.4" x14ac:dyDescent="0.3"/>
  <sheetData>
    <row r="1" spans="1:16" x14ac:dyDescent="0.3">
      <c r="B1" t="s">
        <v>12</v>
      </c>
      <c r="C1" t="s">
        <v>13</v>
      </c>
      <c r="D1" t="s">
        <v>14</v>
      </c>
      <c r="E1" t="s">
        <v>15</v>
      </c>
      <c r="F1" t="s">
        <v>16</v>
      </c>
    </row>
    <row r="2" spans="1:16" x14ac:dyDescent="0.3">
      <c r="A2" t="s">
        <v>17</v>
      </c>
      <c r="B2" t="s">
        <v>18</v>
      </c>
      <c r="C2" t="s">
        <v>19</v>
      </c>
      <c r="E2" t="s">
        <v>19</v>
      </c>
      <c r="F2" t="s">
        <v>19</v>
      </c>
      <c r="H2" s="474" t="s">
        <v>125</v>
      </c>
      <c r="I2" s="474"/>
      <c r="J2" s="474"/>
      <c r="K2" s="474"/>
      <c r="L2" s="474"/>
      <c r="M2" s="474"/>
      <c r="N2" s="474"/>
      <c r="O2" s="474"/>
      <c r="P2" s="474"/>
    </row>
    <row r="3" spans="1:16" x14ac:dyDescent="0.3">
      <c r="A3" s="5" t="s">
        <v>20</v>
      </c>
      <c r="B3" s="5" t="s">
        <v>4</v>
      </c>
      <c r="C3" s="5" t="s">
        <v>21</v>
      </c>
      <c r="D3" s="5" t="s">
        <v>19</v>
      </c>
      <c r="E3" s="5" t="s">
        <v>21</v>
      </c>
      <c r="F3" s="5" t="s">
        <v>21</v>
      </c>
      <c r="H3" s="474"/>
      <c r="I3" s="474"/>
      <c r="J3" s="474"/>
      <c r="K3" s="474"/>
      <c r="L3" s="474"/>
      <c r="M3" s="474"/>
      <c r="N3" s="474"/>
      <c r="O3" s="474"/>
      <c r="P3" s="474"/>
    </row>
    <row r="4" spans="1:16" x14ac:dyDescent="0.3">
      <c r="B4" t="s">
        <v>22</v>
      </c>
      <c r="C4" t="s">
        <v>19</v>
      </c>
      <c r="D4" t="s">
        <v>19</v>
      </c>
      <c r="E4" t="s">
        <v>19</v>
      </c>
      <c r="H4" s="474"/>
      <c r="I4" s="474"/>
      <c r="J4" s="474"/>
      <c r="K4" s="474"/>
      <c r="L4" s="474"/>
      <c r="M4" s="474"/>
      <c r="N4" s="474"/>
      <c r="O4" s="474"/>
      <c r="P4" s="474"/>
    </row>
    <row r="5" spans="1:16" x14ac:dyDescent="0.3">
      <c r="B5" t="s">
        <v>26</v>
      </c>
      <c r="H5" s="474"/>
      <c r="I5" s="474"/>
      <c r="J5" s="474"/>
      <c r="K5" s="474"/>
      <c r="L5" s="474"/>
      <c r="M5" s="474"/>
      <c r="N5" s="474"/>
      <c r="O5" s="474"/>
      <c r="P5" s="474"/>
    </row>
    <row r="6" spans="1:16" x14ac:dyDescent="0.3">
      <c r="B6" t="s">
        <v>27</v>
      </c>
    </row>
    <row r="7" spans="1:16" x14ac:dyDescent="0.3">
      <c r="B7" t="s">
        <v>6</v>
      </c>
      <c r="C7" t="s">
        <v>19</v>
      </c>
      <c r="D7" t="s">
        <v>21</v>
      </c>
      <c r="E7" t="s">
        <v>19</v>
      </c>
      <c r="H7" t="s">
        <v>126</v>
      </c>
      <c r="K7" s="6">
        <f>'Input - Life Cycle Information'!C18</f>
        <v>20</v>
      </c>
    </row>
    <row r="8" spans="1:16" x14ac:dyDescent="0.3">
      <c r="B8" t="s">
        <v>28</v>
      </c>
      <c r="H8" t="s">
        <v>127</v>
      </c>
      <c r="K8" s="6">
        <f>'Input - Life Cycle Information'!C19</f>
        <v>100</v>
      </c>
    </row>
    <row r="9" spans="1:16" x14ac:dyDescent="0.3">
      <c r="A9" t="s">
        <v>23</v>
      </c>
      <c r="B9" t="s">
        <v>24</v>
      </c>
      <c r="C9" t="s">
        <v>19</v>
      </c>
      <c r="D9" t="s">
        <v>19</v>
      </c>
      <c r="E9" t="s">
        <v>19</v>
      </c>
      <c r="F9" t="s">
        <v>19</v>
      </c>
    </row>
    <row r="10" spans="1:16" x14ac:dyDescent="0.3">
      <c r="B10" t="s">
        <v>25</v>
      </c>
      <c r="H10" t="s">
        <v>140</v>
      </c>
      <c r="K10" s="9">
        <f>K7/K8</f>
        <v>0.2</v>
      </c>
      <c r="L10" t="s">
        <v>253</v>
      </c>
    </row>
    <row r="11" spans="1:16" x14ac:dyDescent="0.3">
      <c r="B11" t="s">
        <v>29</v>
      </c>
    </row>
    <row r="12" spans="1:16" x14ac:dyDescent="0.3">
      <c r="B12" t="s">
        <v>30</v>
      </c>
    </row>
    <row r="13" spans="1:16" x14ac:dyDescent="0.3">
      <c r="B13" t="s">
        <v>31</v>
      </c>
    </row>
    <row r="14" spans="1:16" x14ac:dyDescent="0.3">
      <c r="B14" t="s">
        <v>32</v>
      </c>
    </row>
    <row r="15" spans="1:16" x14ac:dyDescent="0.3">
      <c r="B15" t="s">
        <v>33</v>
      </c>
    </row>
    <row r="16" spans="1:16" x14ac:dyDescent="0.3">
      <c r="B16" t="s">
        <v>34</v>
      </c>
    </row>
    <row r="17" spans="2:6" x14ac:dyDescent="0.3">
      <c r="B17" t="s">
        <v>35</v>
      </c>
    </row>
    <row r="18" spans="2:6" x14ac:dyDescent="0.3">
      <c r="B18" t="s">
        <v>36</v>
      </c>
    </row>
    <row r="19" spans="2:6" x14ac:dyDescent="0.3">
      <c r="B19" t="s">
        <v>10</v>
      </c>
      <c r="C19" t="s">
        <v>19</v>
      </c>
      <c r="D19" t="s">
        <v>19</v>
      </c>
      <c r="E19" t="s">
        <v>19</v>
      </c>
      <c r="F19" t="s">
        <v>19</v>
      </c>
    </row>
    <row r="20" spans="2:6" x14ac:dyDescent="0.3">
      <c r="B20" t="s">
        <v>37</v>
      </c>
    </row>
    <row r="21" spans="2:6" x14ac:dyDescent="0.3">
      <c r="B21" t="s">
        <v>9</v>
      </c>
      <c r="C21" t="s">
        <v>19</v>
      </c>
      <c r="D21" t="s">
        <v>19</v>
      </c>
      <c r="E21" t="s">
        <v>19</v>
      </c>
      <c r="F21" t="s">
        <v>19</v>
      </c>
    </row>
    <row r="22" spans="2:6" x14ac:dyDescent="0.3">
      <c r="B22" t="s">
        <v>37</v>
      </c>
    </row>
  </sheetData>
  <mergeCells count="1">
    <mergeCell ref="H2:P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DF0EF-1C1D-4A3B-9136-8A945A04D0ED}">
  <dimension ref="A1:P23"/>
  <sheetViews>
    <sheetView workbookViewId="0">
      <selection activeCell="M24" sqref="M24"/>
    </sheetView>
  </sheetViews>
  <sheetFormatPr defaultColWidth="8.77734375" defaultRowHeight="14.4" x14ac:dyDescent="0.3"/>
  <sheetData>
    <row r="1" spans="1:12" x14ac:dyDescent="0.3">
      <c r="B1" t="s">
        <v>12</v>
      </c>
      <c r="C1" t="s">
        <v>13</v>
      </c>
      <c r="D1" t="s">
        <v>14</v>
      </c>
      <c r="E1" t="s">
        <v>15</v>
      </c>
      <c r="F1" t="s">
        <v>16</v>
      </c>
    </row>
    <row r="2" spans="1:12" x14ac:dyDescent="0.3">
      <c r="A2" t="s">
        <v>17</v>
      </c>
      <c r="B2" t="s">
        <v>18</v>
      </c>
      <c r="C2" t="s">
        <v>19</v>
      </c>
      <c r="E2" t="s">
        <v>19</v>
      </c>
      <c r="F2" t="s">
        <v>19</v>
      </c>
      <c r="H2" t="s">
        <v>129</v>
      </c>
    </row>
    <row r="3" spans="1:12" x14ac:dyDescent="0.3">
      <c r="A3" s="5" t="s">
        <v>20</v>
      </c>
      <c r="B3" t="s">
        <v>4</v>
      </c>
      <c r="C3" t="s">
        <v>21</v>
      </c>
      <c r="D3" t="s">
        <v>19</v>
      </c>
      <c r="E3" t="s">
        <v>21</v>
      </c>
      <c r="F3" t="s">
        <v>21</v>
      </c>
      <c r="H3" t="s">
        <v>130</v>
      </c>
    </row>
    <row r="4" spans="1:12" x14ac:dyDescent="0.3">
      <c r="B4" s="5" t="s">
        <v>22</v>
      </c>
      <c r="C4" s="5" t="s">
        <v>19</v>
      </c>
      <c r="D4" s="5" t="s">
        <v>19</v>
      </c>
      <c r="E4" s="5" t="s">
        <v>19</v>
      </c>
      <c r="F4" s="5"/>
      <c r="H4" t="s">
        <v>133</v>
      </c>
      <c r="I4" t="s">
        <v>254</v>
      </c>
      <c r="J4" t="s">
        <v>133</v>
      </c>
    </row>
    <row r="5" spans="1:12" x14ac:dyDescent="0.3">
      <c r="B5" t="s">
        <v>26</v>
      </c>
      <c r="H5" t="s">
        <v>134</v>
      </c>
      <c r="I5" t="s">
        <v>259</v>
      </c>
      <c r="J5" t="s">
        <v>134</v>
      </c>
    </row>
    <row r="6" spans="1:12" x14ac:dyDescent="0.3">
      <c r="B6" t="s">
        <v>27</v>
      </c>
      <c r="H6" t="s">
        <v>135</v>
      </c>
      <c r="I6" t="s">
        <v>255</v>
      </c>
      <c r="J6" t="s">
        <v>135</v>
      </c>
    </row>
    <row r="7" spans="1:12" x14ac:dyDescent="0.3">
      <c r="B7" t="s">
        <v>6</v>
      </c>
      <c r="C7" t="s">
        <v>19</v>
      </c>
      <c r="D7" t="s">
        <v>21</v>
      </c>
      <c r="E7" t="s">
        <v>19</v>
      </c>
      <c r="H7" t="s">
        <v>131</v>
      </c>
    </row>
    <row r="8" spans="1:12" x14ac:dyDescent="0.3">
      <c r="B8" t="s">
        <v>28</v>
      </c>
      <c r="H8" t="s">
        <v>133</v>
      </c>
      <c r="I8" t="s">
        <v>258</v>
      </c>
      <c r="J8" t="s">
        <v>133</v>
      </c>
    </row>
    <row r="9" spans="1:12" x14ac:dyDescent="0.3">
      <c r="A9" t="s">
        <v>23</v>
      </c>
      <c r="B9" t="s">
        <v>24</v>
      </c>
      <c r="C9" t="s">
        <v>19</v>
      </c>
      <c r="D9" t="s">
        <v>19</v>
      </c>
      <c r="E9" t="s">
        <v>19</v>
      </c>
      <c r="F9" t="s">
        <v>19</v>
      </c>
      <c r="H9" t="s">
        <v>134</v>
      </c>
      <c r="I9" t="s">
        <v>256</v>
      </c>
      <c r="J9" t="s">
        <v>134</v>
      </c>
    </row>
    <row r="10" spans="1:12" x14ac:dyDescent="0.3">
      <c r="B10" t="s">
        <v>25</v>
      </c>
      <c r="H10" t="s">
        <v>135</v>
      </c>
      <c r="I10" t="s">
        <v>257</v>
      </c>
      <c r="J10" t="s">
        <v>135</v>
      </c>
    </row>
    <row r="11" spans="1:12" x14ac:dyDescent="0.3">
      <c r="B11" t="s">
        <v>29</v>
      </c>
    </row>
    <row r="12" spans="1:12" x14ac:dyDescent="0.3">
      <c r="B12" t="s">
        <v>30</v>
      </c>
      <c r="I12" t="s">
        <v>21</v>
      </c>
      <c r="J12" s="6" t="s">
        <v>132</v>
      </c>
      <c r="K12" s="6"/>
      <c r="L12" s="6"/>
    </row>
    <row r="13" spans="1:12" x14ac:dyDescent="0.3">
      <c r="B13" t="s">
        <v>31</v>
      </c>
      <c r="H13" t="s">
        <v>21</v>
      </c>
      <c r="I13" t="s">
        <v>21</v>
      </c>
      <c r="J13" s="6" t="s">
        <v>133</v>
      </c>
      <c r="K13" s="6" t="s">
        <v>134</v>
      </c>
      <c r="L13" s="6" t="s">
        <v>135</v>
      </c>
    </row>
    <row r="14" spans="1:12" x14ac:dyDescent="0.3">
      <c r="B14" t="s">
        <v>32</v>
      </c>
      <c r="H14" s="480" t="s">
        <v>136</v>
      </c>
      <c r="I14" s="6" t="s">
        <v>133</v>
      </c>
      <c r="J14" s="6">
        <v>1</v>
      </c>
      <c r="K14" s="6">
        <v>0.75</v>
      </c>
      <c r="L14" s="6">
        <v>0.5</v>
      </c>
    </row>
    <row r="15" spans="1:12" x14ac:dyDescent="0.3">
      <c r="B15" t="s">
        <v>33</v>
      </c>
      <c r="H15" s="481"/>
      <c r="I15" s="6" t="s">
        <v>134</v>
      </c>
      <c r="J15" s="6">
        <v>0.75</v>
      </c>
      <c r="K15" s="6">
        <v>0.5</v>
      </c>
      <c r="L15" s="6">
        <v>0.25</v>
      </c>
    </row>
    <row r="16" spans="1:12" x14ac:dyDescent="0.3">
      <c r="B16" t="s">
        <v>34</v>
      </c>
      <c r="H16" s="482"/>
      <c r="I16" s="6" t="s">
        <v>135</v>
      </c>
      <c r="J16" s="6">
        <v>0.5</v>
      </c>
      <c r="K16" s="6">
        <v>0.25</v>
      </c>
      <c r="L16" s="6">
        <v>0</v>
      </c>
    </row>
    <row r="17" spans="2:16" x14ac:dyDescent="0.3">
      <c r="B17" t="s">
        <v>35</v>
      </c>
    </row>
    <row r="18" spans="2:16" x14ac:dyDescent="0.3">
      <c r="B18" t="s">
        <v>36</v>
      </c>
      <c r="H18" t="s">
        <v>137</v>
      </c>
    </row>
    <row r="19" spans="2:16" x14ac:dyDescent="0.3">
      <c r="B19" t="s">
        <v>10</v>
      </c>
      <c r="C19" t="s">
        <v>19</v>
      </c>
      <c r="D19" t="s">
        <v>19</v>
      </c>
      <c r="E19" t="s">
        <v>19</v>
      </c>
      <c r="F19" t="s">
        <v>19</v>
      </c>
      <c r="N19" t="s">
        <v>133</v>
      </c>
      <c r="O19" t="s">
        <v>134</v>
      </c>
      <c r="P19" t="s">
        <v>135</v>
      </c>
    </row>
    <row r="20" spans="2:16" x14ac:dyDescent="0.3">
      <c r="B20" t="s">
        <v>37</v>
      </c>
      <c r="H20" t="s">
        <v>138</v>
      </c>
      <c r="J20" s="6" t="str">
        <f>'Input - Value'!C12</f>
        <v>The pack has some sharp edges or corners where product cannot be removed from, but is generally smoothly shaped.</v>
      </c>
      <c r="K20" s="6" t="str">
        <f>VLOOKUP(J20,I4:J6,2,FALSE)</f>
        <v>Level 2</v>
      </c>
      <c r="M20" t="s">
        <v>142</v>
      </c>
      <c r="N20">
        <f>VLOOKUP(K20,I14:L16,2,FALSE)</f>
        <v>0.75</v>
      </c>
      <c r="O20">
        <f>VLOOKUP(K20,I14:L16,3,FALSE)</f>
        <v>0.5</v>
      </c>
      <c r="P20">
        <f>VLOOKUP(K20,I14:L16,4,FALSE)</f>
        <v>0.25</v>
      </c>
    </row>
    <row r="21" spans="2:16" x14ac:dyDescent="0.3">
      <c r="B21" t="s">
        <v>9</v>
      </c>
      <c r="C21" t="s">
        <v>19</v>
      </c>
      <c r="D21" t="s">
        <v>19</v>
      </c>
      <c r="E21" t="s">
        <v>19</v>
      </c>
      <c r="F21" t="s">
        <v>19</v>
      </c>
      <c r="H21" t="s">
        <v>139</v>
      </c>
      <c r="J21" s="6" t="str">
        <f>'Input - Value'!C13</f>
        <v>The pack reseals but protects the product less well than the original unopened packaging.</v>
      </c>
      <c r="K21" s="6" t="str">
        <f>VLOOKUP(J21,I8:J10,2,FALSE)</f>
        <v>Level 2</v>
      </c>
    </row>
    <row r="22" spans="2:16" x14ac:dyDescent="0.3">
      <c r="B22" t="s">
        <v>37</v>
      </c>
    </row>
    <row r="23" spans="2:16" x14ac:dyDescent="0.3">
      <c r="H23" t="s">
        <v>141</v>
      </c>
      <c r="K23" s="9">
        <f>HLOOKUP(K21,N19:P20,2,FALSE)</f>
        <v>0.5</v>
      </c>
      <c r="L23" t="s">
        <v>253</v>
      </c>
    </row>
  </sheetData>
  <mergeCells count="1">
    <mergeCell ref="H14:H1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799E3-34AE-4E97-8B5A-91F21AB595CD}">
  <dimension ref="A1:Y82"/>
  <sheetViews>
    <sheetView topLeftCell="F32" workbookViewId="0">
      <selection activeCell="M24" sqref="M24"/>
    </sheetView>
  </sheetViews>
  <sheetFormatPr defaultColWidth="8.77734375" defaultRowHeight="14.4" x14ac:dyDescent="0.3"/>
  <cols>
    <col min="19" max="19" width="9.44140625" bestFit="1" customWidth="1"/>
  </cols>
  <sheetData>
    <row r="1" spans="1:19" x14ac:dyDescent="0.3">
      <c r="B1" t="s">
        <v>12</v>
      </c>
      <c r="C1" t="s">
        <v>13</v>
      </c>
      <c r="D1" t="s">
        <v>14</v>
      </c>
      <c r="E1" t="s">
        <v>15</v>
      </c>
      <c r="F1" t="s">
        <v>16</v>
      </c>
      <c r="H1" t="s">
        <v>164</v>
      </c>
    </row>
    <row r="2" spans="1:19" x14ac:dyDescent="0.3">
      <c r="A2" t="s">
        <v>17</v>
      </c>
      <c r="B2" t="s">
        <v>18</v>
      </c>
      <c r="C2" t="s">
        <v>19</v>
      </c>
      <c r="E2" t="s">
        <v>19</v>
      </c>
      <c r="F2" t="s">
        <v>19</v>
      </c>
      <c r="P2" t="s">
        <v>143</v>
      </c>
      <c r="Q2" t="s">
        <v>248</v>
      </c>
      <c r="R2" t="s">
        <v>249</v>
      </c>
      <c r="S2" t="s">
        <v>252</v>
      </c>
    </row>
    <row r="3" spans="1:19" x14ac:dyDescent="0.3">
      <c r="A3" s="5" t="s">
        <v>20</v>
      </c>
      <c r="B3" t="s">
        <v>4</v>
      </c>
      <c r="C3" t="s">
        <v>21</v>
      </c>
      <c r="D3" t="s">
        <v>19</v>
      </c>
      <c r="E3" t="s">
        <v>21</v>
      </c>
      <c r="F3" t="s">
        <v>21</v>
      </c>
      <c r="H3" s="7" t="s">
        <v>143</v>
      </c>
      <c r="P3" s="6">
        <f>K17</f>
        <v>9</v>
      </c>
      <c r="Q3" s="6">
        <f>H38</f>
        <v>8.875</v>
      </c>
      <c r="R3" s="6">
        <f>P3+Q3</f>
        <v>17.875</v>
      </c>
      <c r="S3" s="12">
        <f>(20-R3)/(20-2)</f>
        <v>0.11805555555555555</v>
      </c>
    </row>
    <row r="4" spans="1:19" x14ac:dyDescent="0.3">
      <c r="B4" t="s">
        <v>22</v>
      </c>
      <c r="C4" t="s">
        <v>19</v>
      </c>
      <c r="D4" t="s">
        <v>19</v>
      </c>
      <c r="E4" t="s">
        <v>19</v>
      </c>
      <c r="H4" t="s">
        <v>21</v>
      </c>
      <c r="I4" t="s">
        <v>21</v>
      </c>
      <c r="J4" t="s">
        <v>144</v>
      </c>
      <c r="P4" t="s">
        <v>250</v>
      </c>
      <c r="Q4" t="s">
        <v>250</v>
      </c>
      <c r="R4" t="s">
        <v>251</v>
      </c>
      <c r="S4" t="s">
        <v>253</v>
      </c>
    </row>
    <row r="5" spans="1:19" x14ac:dyDescent="0.3">
      <c r="B5" t="s">
        <v>26</v>
      </c>
      <c r="H5" t="s">
        <v>21</v>
      </c>
      <c r="I5" t="s">
        <v>21</v>
      </c>
      <c r="J5" t="s">
        <v>145</v>
      </c>
      <c r="K5" t="s">
        <v>133</v>
      </c>
      <c r="L5" t="s">
        <v>134</v>
      </c>
      <c r="M5" t="s">
        <v>135</v>
      </c>
    </row>
    <row r="6" spans="1:19" x14ac:dyDescent="0.3">
      <c r="B6" t="s">
        <v>27</v>
      </c>
      <c r="H6" s="483" t="s">
        <v>146</v>
      </c>
      <c r="I6" t="s">
        <v>145</v>
      </c>
      <c r="J6">
        <v>10</v>
      </c>
      <c r="K6">
        <v>10</v>
      </c>
      <c r="L6">
        <v>10</v>
      </c>
      <c r="M6">
        <v>10</v>
      </c>
    </row>
    <row r="7" spans="1:19" x14ac:dyDescent="0.3">
      <c r="B7" s="5" t="s">
        <v>6</v>
      </c>
      <c r="C7" s="5" t="s">
        <v>19</v>
      </c>
      <c r="D7" s="5" t="s">
        <v>21</v>
      </c>
      <c r="E7" s="5" t="s">
        <v>19</v>
      </c>
      <c r="H7" s="483"/>
      <c r="I7" t="s">
        <v>133</v>
      </c>
      <c r="J7">
        <v>10</v>
      </c>
      <c r="K7">
        <v>9</v>
      </c>
      <c r="L7">
        <v>8</v>
      </c>
      <c r="M7">
        <v>7</v>
      </c>
    </row>
    <row r="8" spans="1:19" x14ac:dyDescent="0.3">
      <c r="B8" s="5" t="s">
        <v>28</v>
      </c>
      <c r="C8" s="5"/>
      <c r="D8" s="5"/>
      <c r="E8" s="5"/>
      <c r="H8" s="483"/>
      <c r="I8" t="s">
        <v>134</v>
      </c>
      <c r="J8">
        <v>10</v>
      </c>
      <c r="K8">
        <v>8</v>
      </c>
      <c r="L8">
        <v>6</v>
      </c>
      <c r="M8">
        <v>5</v>
      </c>
    </row>
    <row r="9" spans="1:19" x14ac:dyDescent="0.3">
      <c r="A9" t="s">
        <v>23</v>
      </c>
      <c r="B9" t="s">
        <v>24</v>
      </c>
      <c r="C9" t="s">
        <v>19</v>
      </c>
      <c r="D9" t="s">
        <v>19</v>
      </c>
      <c r="E9" t="s">
        <v>19</v>
      </c>
      <c r="F9" t="s">
        <v>19</v>
      </c>
      <c r="H9" s="483"/>
      <c r="I9" t="s">
        <v>135</v>
      </c>
      <c r="J9">
        <v>10</v>
      </c>
      <c r="K9">
        <v>7</v>
      </c>
      <c r="L9">
        <v>5</v>
      </c>
      <c r="M9">
        <v>3</v>
      </c>
    </row>
    <row r="10" spans="1:19" x14ac:dyDescent="0.3">
      <c r="B10" t="s">
        <v>25</v>
      </c>
      <c r="H10" s="483"/>
      <c r="I10" t="s">
        <v>147</v>
      </c>
      <c r="J10">
        <v>10</v>
      </c>
      <c r="K10">
        <v>7</v>
      </c>
      <c r="L10">
        <v>4</v>
      </c>
      <c r="M10">
        <v>1</v>
      </c>
    </row>
    <row r="11" spans="1:19" x14ac:dyDescent="0.3">
      <c r="B11" t="s">
        <v>29</v>
      </c>
    </row>
    <row r="12" spans="1:19" x14ac:dyDescent="0.3">
      <c r="B12" t="s">
        <v>30</v>
      </c>
      <c r="H12" t="s">
        <v>137</v>
      </c>
    </row>
    <row r="13" spans="1:19" x14ac:dyDescent="0.3">
      <c r="B13" t="s">
        <v>31</v>
      </c>
      <c r="N13" t="s">
        <v>145</v>
      </c>
      <c r="O13" t="s">
        <v>133</v>
      </c>
      <c r="P13" t="s">
        <v>134</v>
      </c>
      <c r="Q13" t="s">
        <v>135</v>
      </c>
    </row>
    <row r="14" spans="1:19" x14ac:dyDescent="0.3">
      <c r="B14" t="s">
        <v>32</v>
      </c>
      <c r="H14" t="s">
        <v>148</v>
      </c>
      <c r="K14" s="6" t="str">
        <f>VLOOKUP('Input - Value'!C16,'Value - Material safety'!I20:J23,2,FALSE)</f>
        <v>Level 1</v>
      </c>
      <c r="M14" t="s">
        <v>142</v>
      </c>
      <c r="N14">
        <f>VLOOKUP(K14,I6:M10,2,FALSE)</f>
        <v>10</v>
      </c>
      <c r="O14">
        <f>VLOOKUP(K14,I6:M10,3,FALSE)</f>
        <v>9</v>
      </c>
      <c r="P14">
        <f>VLOOKUP(K14,I6:M10,4,FALSE)</f>
        <v>8</v>
      </c>
      <c r="Q14">
        <f>VLOOKUP(K14,I6:M10,5,FALSE)</f>
        <v>7</v>
      </c>
    </row>
    <row r="15" spans="1:19" x14ac:dyDescent="0.3">
      <c r="B15" t="s">
        <v>33</v>
      </c>
      <c r="H15" t="s">
        <v>149</v>
      </c>
      <c r="K15" s="6" t="str">
        <f>VLOOKUP('Input - Value'!C17,'Value - Material safety'!I26:J31,2,FALSE)</f>
        <v>Level 1</v>
      </c>
    </row>
    <row r="16" spans="1:19" x14ac:dyDescent="0.3">
      <c r="B16" t="s">
        <v>34</v>
      </c>
    </row>
    <row r="17" spans="2:11" x14ac:dyDescent="0.3">
      <c r="B17" t="s">
        <v>35</v>
      </c>
      <c r="H17" t="s">
        <v>141</v>
      </c>
      <c r="I17" t="s">
        <v>165</v>
      </c>
      <c r="K17" s="6">
        <f>HLOOKUP(K15,N13:Q14,2,FALSE)</f>
        <v>9</v>
      </c>
    </row>
    <row r="18" spans="2:11" x14ac:dyDescent="0.3">
      <c r="B18" t="s">
        <v>36</v>
      </c>
    </row>
    <row r="19" spans="2:11" x14ac:dyDescent="0.3">
      <c r="B19" t="s">
        <v>10</v>
      </c>
      <c r="C19" t="s">
        <v>19</v>
      </c>
      <c r="D19" t="s">
        <v>19</v>
      </c>
      <c r="E19" t="s">
        <v>19</v>
      </c>
      <c r="F19" t="s">
        <v>19</v>
      </c>
      <c r="H19" t="s">
        <v>144</v>
      </c>
      <c r="I19" t="s">
        <v>38</v>
      </c>
    </row>
    <row r="20" spans="2:11" x14ac:dyDescent="0.3">
      <c r="B20" t="s">
        <v>37</v>
      </c>
      <c r="H20">
        <v>0</v>
      </c>
      <c r="I20" t="s">
        <v>150</v>
      </c>
      <c r="J20" t="s">
        <v>145</v>
      </c>
    </row>
    <row r="21" spans="2:11" x14ac:dyDescent="0.3">
      <c r="B21" t="s">
        <v>9</v>
      </c>
      <c r="C21" t="s">
        <v>19</v>
      </c>
      <c r="D21" t="s">
        <v>19</v>
      </c>
      <c r="E21" t="s">
        <v>19</v>
      </c>
      <c r="F21" t="s">
        <v>19</v>
      </c>
      <c r="H21">
        <v>1</v>
      </c>
      <c r="I21" t="s">
        <v>151</v>
      </c>
      <c r="J21" t="s">
        <v>133</v>
      </c>
    </row>
    <row r="22" spans="2:11" x14ac:dyDescent="0.3">
      <c r="B22" t="s">
        <v>37</v>
      </c>
      <c r="H22">
        <v>2</v>
      </c>
      <c r="I22" t="s">
        <v>152</v>
      </c>
      <c r="J22" t="s">
        <v>134</v>
      </c>
    </row>
    <row r="23" spans="2:11" x14ac:dyDescent="0.3">
      <c r="H23">
        <v>3</v>
      </c>
      <c r="I23" t="s">
        <v>153</v>
      </c>
      <c r="J23" t="s">
        <v>135</v>
      </c>
    </row>
    <row r="25" spans="2:11" x14ac:dyDescent="0.3">
      <c r="H25" t="s">
        <v>146</v>
      </c>
      <c r="I25" t="s">
        <v>38</v>
      </c>
    </row>
    <row r="26" spans="2:11" x14ac:dyDescent="0.3">
      <c r="H26">
        <v>0</v>
      </c>
      <c r="I26" t="s">
        <v>154</v>
      </c>
      <c r="J26" t="s">
        <v>145</v>
      </c>
    </row>
    <row r="27" spans="2:11" x14ac:dyDescent="0.3">
      <c r="H27" s="484">
        <v>1</v>
      </c>
      <c r="I27" t="s">
        <v>155</v>
      </c>
      <c r="J27" t="s">
        <v>133</v>
      </c>
    </row>
    <row r="28" spans="2:11" x14ac:dyDescent="0.3">
      <c r="H28" s="484"/>
      <c r="I28" t="s">
        <v>156</v>
      </c>
      <c r="J28" t="s">
        <v>133</v>
      </c>
    </row>
    <row r="29" spans="2:11" x14ac:dyDescent="0.3">
      <c r="H29">
        <v>2</v>
      </c>
      <c r="I29" t="s">
        <v>157</v>
      </c>
      <c r="J29" t="s">
        <v>134</v>
      </c>
    </row>
    <row r="30" spans="2:11" x14ac:dyDescent="0.3">
      <c r="H30">
        <v>3</v>
      </c>
      <c r="I30" t="s">
        <v>158</v>
      </c>
      <c r="J30" t="s">
        <v>135</v>
      </c>
    </row>
    <row r="31" spans="2:11" x14ac:dyDescent="0.3">
      <c r="H31">
        <v>4</v>
      </c>
      <c r="I31" t="s">
        <v>159</v>
      </c>
      <c r="J31" t="s">
        <v>147</v>
      </c>
    </row>
    <row r="34" spans="8:22" x14ac:dyDescent="0.3">
      <c r="H34" s="7" t="s">
        <v>166</v>
      </c>
    </row>
    <row r="35" spans="8:22" x14ac:dyDescent="0.3">
      <c r="H35" t="s">
        <v>163</v>
      </c>
    </row>
    <row r="37" spans="8:22" x14ac:dyDescent="0.3">
      <c r="H37" t="s">
        <v>247</v>
      </c>
    </row>
    <row r="38" spans="8:22" x14ac:dyDescent="0.3">
      <c r="H38">
        <f>(J41+R47)/2</f>
        <v>8.875</v>
      </c>
    </row>
    <row r="39" spans="8:22" x14ac:dyDescent="0.3">
      <c r="R39" t="s">
        <v>242</v>
      </c>
      <c r="U39" t="s">
        <v>244</v>
      </c>
      <c r="V39" t="s">
        <v>245</v>
      </c>
    </row>
    <row r="40" spans="8:22" x14ac:dyDescent="0.3">
      <c r="H40" t="s">
        <v>168</v>
      </c>
      <c r="J40" s="6" t="str">
        <f>'Input - Value'!C19</f>
        <v>High density polyethylene (HDPE)</v>
      </c>
      <c r="N40" t="s">
        <v>206</v>
      </c>
      <c r="Q40" s="6" t="str">
        <f>'Input - Value'!C20</f>
        <v>15-30 days</v>
      </c>
      <c r="R40">
        <f>VLOOKUP(Q40,N$51:O$55,2,FALSE)</f>
        <v>4</v>
      </c>
      <c r="U40">
        <v>6</v>
      </c>
      <c r="V40">
        <v>1</v>
      </c>
    </row>
    <row r="41" spans="8:22" x14ac:dyDescent="0.3">
      <c r="H41" t="s">
        <v>242</v>
      </c>
      <c r="J41">
        <f>VLOOKUP(J40,H51:I82,2)</f>
        <v>10</v>
      </c>
      <c r="K41" t="s">
        <v>250</v>
      </c>
      <c r="N41" t="s">
        <v>207</v>
      </c>
      <c r="Q41" s="6" t="str">
        <f>'Input - Value'!C21</f>
        <v>9-18°C</v>
      </c>
      <c r="R41">
        <f>VLOOKUP(Q41,P$51:Q$55,2,FALSE)</f>
        <v>3</v>
      </c>
      <c r="U41">
        <v>26</v>
      </c>
      <c r="V41">
        <v>10</v>
      </c>
    </row>
    <row r="42" spans="8:22" x14ac:dyDescent="0.3">
      <c r="N42" t="s">
        <v>208</v>
      </c>
      <c r="Q42" s="6" t="str">
        <f>'Input - Value'!C22</f>
        <v>21-30%</v>
      </c>
      <c r="R42">
        <f>VLOOKUP(Q42,R$51:S$55,2,FALSE)</f>
        <v>4</v>
      </c>
    </row>
    <row r="43" spans="8:22" x14ac:dyDescent="0.3">
      <c r="N43" t="s">
        <v>209</v>
      </c>
      <c r="Q43" s="6" t="str">
        <f>'Input - Value'!C23</f>
        <v>Not applicable</v>
      </c>
      <c r="R43">
        <f>VLOOKUP(Q43,T$51:U$55,2,FALSE)</f>
        <v>5</v>
      </c>
    </row>
    <row r="44" spans="8:22" x14ac:dyDescent="0.3">
      <c r="N44" t="s">
        <v>210</v>
      </c>
      <c r="Q44" s="6" t="str">
        <f>'Input - Value'!C24</f>
        <v>Solid food with full contact</v>
      </c>
      <c r="R44">
        <f>VLOOKUP(Q44,V$51:W$55,2,FALSE)</f>
        <v>2</v>
      </c>
    </row>
    <row r="45" spans="8:22" x14ac:dyDescent="0.3">
      <c r="N45" t="s">
        <v>211</v>
      </c>
      <c r="Q45" s="6" t="str">
        <f>'Input - Value'!C25</f>
        <v>0.25-0.49 L or 0.25-0.49 kg</v>
      </c>
      <c r="R45">
        <f>VLOOKUP(Q45,X$51:Y$55,2,FALSE)</f>
        <v>3</v>
      </c>
    </row>
    <row r="46" spans="8:22" x14ac:dyDescent="0.3">
      <c r="Q46" s="8" t="s">
        <v>243</v>
      </c>
      <c r="R46">
        <f>SUM(R40:R45)</f>
        <v>21</v>
      </c>
    </row>
    <row r="47" spans="8:22" x14ac:dyDescent="0.3">
      <c r="Q47" s="8" t="s">
        <v>246</v>
      </c>
      <c r="R47">
        <f>(0.45*R46)-1.7</f>
        <v>7.7500000000000009</v>
      </c>
      <c r="S47" t="s">
        <v>250</v>
      </c>
    </row>
    <row r="49" spans="8:25" x14ac:dyDescent="0.3">
      <c r="H49" t="s">
        <v>167</v>
      </c>
      <c r="N49" t="s">
        <v>236</v>
      </c>
    </row>
    <row r="50" spans="8:25" x14ac:dyDescent="0.3">
      <c r="H50" t="s">
        <v>168</v>
      </c>
      <c r="I50" t="s">
        <v>169</v>
      </c>
      <c r="J50" t="s">
        <v>170</v>
      </c>
      <c r="N50" t="s">
        <v>206</v>
      </c>
      <c r="P50" t="s">
        <v>207</v>
      </c>
      <c r="R50" t="s">
        <v>208</v>
      </c>
      <c r="T50" t="s">
        <v>209</v>
      </c>
      <c r="V50" t="s">
        <v>210</v>
      </c>
      <c r="X50" t="s">
        <v>211</v>
      </c>
    </row>
    <row r="51" spans="8:25" x14ac:dyDescent="0.3">
      <c r="H51" t="s">
        <v>171</v>
      </c>
      <c r="I51">
        <v>10</v>
      </c>
      <c r="J51" t="s">
        <v>172</v>
      </c>
      <c r="N51" t="s">
        <v>212</v>
      </c>
      <c r="O51">
        <v>1</v>
      </c>
      <c r="P51" t="s">
        <v>213</v>
      </c>
      <c r="Q51">
        <v>1</v>
      </c>
      <c r="R51" t="s">
        <v>214</v>
      </c>
      <c r="S51">
        <v>1</v>
      </c>
      <c r="T51" t="s">
        <v>215</v>
      </c>
      <c r="U51">
        <v>1</v>
      </c>
      <c r="V51" t="s">
        <v>216</v>
      </c>
      <c r="W51">
        <v>1</v>
      </c>
      <c r="X51" t="s">
        <v>237</v>
      </c>
      <c r="Y51">
        <v>1</v>
      </c>
    </row>
    <row r="52" spans="8:25" x14ac:dyDescent="0.3">
      <c r="H52" t="s">
        <v>173</v>
      </c>
      <c r="I52">
        <v>10</v>
      </c>
      <c r="J52" t="s">
        <v>172</v>
      </c>
      <c r="N52" t="s">
        <v>217</v>
      </c>
      <c r="O52">
        <v>2</v>
      </c>
      <c r="P52" t="s">
        <v>218</v>
      </c>
      <c r="Q52">
        <v>2</v>
      </c>
      <c r="R52" t="s">
        <v>219</v>
      </c>
      <c r="S52">
        <v>2</v>
      </c>
      <c r="T52" t="s">
        <v>220</v>
      </c>
      <c r="U52">
        <v>2</v>
      </c>
      <c r="V52" t="s">
        <v>221</v>
      </c>
      <c r="W52">
        <v>2</v>
      </c>
      <c r="X52" t="s">
        <v>238</v>
      </c>
      <c r="Y52">
        <v>2</v>
      </c>
    </row>
    <row r="53" spans="8:25" x14ac:dyDescent="0.3">
      <c r="H53" t="s">
        <v>174</v>
      </c>
      <c r="I53">
        <v>10</v>
      </c>
      <c r="J53" t="s">
        <v>172</v>
      </c>
      <c r="N53" t="s">
        <v>222</v>
      </c>
      <c r="O53">
        <v>3</v>
      </c>
      <c r="P53" t="s">
        <v>223</v>
      </c>
      <c r="Q53">
        <v>3</v>
      </c>
      <c r="R53" t="s">
        <v>224</v>
      </c>
      <c r="S53">
        <v>3</v>
      </c>
      <c r="T53" t="s">
        <v>225</v>
      </c>
      <c r="U53">
        <v>3</v>
      </c>
      <c r="V53" t="s">
        <v>226</v>
      </c>
      <c r="W53">
        <v>3</v>
      </c>
      <c r="X53" t="s">
        <v>239</v>
      </c>
      <c r="Y53">
        <v>3</v>
      </c>
    </row>
    <row r="54" spans="8:25" x14ac:dyDescent="0.3">
      <c r="H54" t="s">
        <v>175</v>
      </c>
      <c r="I54">
        <v>10</v>
      </c>
      <c r="J54" t="s">
        <v>172</v>
      </c>
      <c r="N54" t="s">
        <v>227</v>
      </c>
      <c r="O54">
        <v>4</v>
      </c>
      <c r="P54" t="s">
        <v>228</v>
      </c>
      <c r="Q54">
        <v>4</v>
      </c>
      <c r="R54" t="s">
        <v>229</v>
      </c>
      <c r="S54">
        <v>4</v>
      </c>
      <c r="T54" t="s">
        <v>230</v>
      </c>
      <c r="U54">
        <v>4</v>
      </c>
      <c r="V54" t="s">
        <v>231</v>
      </c>
      <c r="W54">
        <v>4</v>
      </c>
      <c r="X54" t="s">
        <v>240</v>
      </c>
      <c r="Y54">
        <v>4</v>
      </c>
    </row>
    <row r="55" spans="8:25" x14ac:dyDescent="0.3">
      <c r="H55" t="s">
        <v>176</v>
      </c>
      <c r="I55">
        <v>10</v>
      </c>
      <c r="J55" t="s">
        <v>172</v>
      </c>
      <c r="N55" t="s">
        <v>232</v>
      </c>
      <c r="O55">
        <v>5</v>
      </c>
      <c r="P55" t="s">
        <v>233</v>
      </c>
      <c r="Q55">
        <v>5</v>
      </c>
      <c r="R55" t="s">
        <v>234</v>
      </c>
      <c r="S55">
        <v>5</v>
      </c>
      <c r="T55" t="s">
        <v>235</v>
      </c>
      <c r="U55">
        <v>5</v>
      </c>
      <c r="V55" t="s">
        <v>235</v>
      </c>
      <c r="W55">
        <v>5</v>
      </c>
      <c r="X55" t="s">
        <v>241</v>
      </c>
      <c r="Y55">
        <v>5</v>
      </c>
    </row>
    <row r="56" spans="8:25" x14ac:dyDescent="0.3">
      <c r="H56" t="s">
        <v>177</v>
      </c>
      <c r="I56">
        <v>10</v>
      </c>
      <c r="J56" t="s">
        <v>172</v>
      </c>
    </row>
    <row r="57" spans="8:25" x14ac:dyDescent="0.3">
      <c r="H57" t="s">
        <v>178</v>
      </c>
      <c r="I57">
        <v>10</v>
      </c>
      <c r="J57" t="s">
        <v>172</v>
      </c>
    </row>
    <row r="58" spans="8:25" x14ac:dyDescent="0.3">
      <c r="H58" t="s">
        <v>179</v>
      </c>
      <c r="I58">
        <v>1</v>
      </c>
      <c r="J58" t="s">
        <v>180</v>
      </c>
    </row>
    <row r="59" spans="8:25" x14ac:dyDescent="0.3">
      <c r="H59" t="s">
        <v>181</v>
      </c>
      <c r="I59">
        <v>10</v>
      </c>
      <c r="J59" t="s">
        <v>172</v>
      </c>
    </row>
    <row r="60" spans="8:25" x14ac:dyDescent="0.3">
      <c r="H60" t="s">
        <v>182</v>
      </c>
      <c r="I60">
        <v>10</v>
      </c>
      <c r="J60" t="s">
        <v>172</v>
      </c>
    </row>
    <row r="61" spans="8:25" x14ac:dyDescent="0.3">
      <c r="H61" t="s">
        <v>183</v>
      </c>
      <c r="I61">
        <v>10</v>
      </c>
      <c r="J61" t="s">
        <v>172</v>
      </c>
    </row>
    <row r="62" spans="8:25" x14ac:dyDescent="0.3">
      <c r="H62" t="s">
        <v>184</v>
      </c>
      <c r="I62">
        <v>1</v>
      </c>
      <c r="J62" t="s">
        <v>185</v>
      </c>
    </row>
    <row r="63" spans="8:25" x14ac:dyDescent="0.3">
      <c r="H63" t="s">
        <v>186</v>
      </c>
      <c r="I63">
        <v>10</v>
      </c>
      <c r="J63" t="s">
        <v>172</v>
      </c>
    </row>
    <row r="64" spans="8:25" x14ac:dyDescent="0.3">
      <c r="H64" t="s">
        <v>187</v>
      </c>
      <c r="I64">
        <v>10</v>
      </c>
      <c r="J64" t="s">
        <v>172</v>
      </c>
    </row>
    <row r="65" spans="8:10" x14ac:dyDescent="0.3">
      <c r="H65" t="s">
        <v>188</v>
      </c>
      <c r="I65">
        <v>10</v>
      </c>
      <c r="J65" t="s">
        <v>172</v>
      </c>
    </row>
    <row r="66" spans="8:10" x14ac:dyDescent="0.3">
      <c r="H66" t="s">
        <v>189</v>
      </c>
      <c r="I66">
        <v>10</v>
      </c>
      <c r="J66" t="s">
        <v>172</v>
      </c>
    </row>
    <row r="67" spans="8:10" x14ac:dyDescent="0.3">
      <c r="H67" t="s">
        <v>190</v>
      </c>
      <c r="I67">
        <v>10</v>
      </c>
      <c r="J67" t="s">
        <v>172</v>
      </c>
    </row>
    <row r="68" spans="8:10" x14ac:dyDescent="0.3">
      <c r="H68" t="s">
        <v>191</v>
      </c>
      <c r="I68">
        <v>10</v>
      </c>
      <c r="J68" t="s">
        <v>172</v>
      </c>
    </row>
    <row r="69" spans="8:10" x14ac:dyDescent="0.3">
      <c r="H69" t="s">
        <v>192</v>
      </c>
      <c r="I69">
        <v>10</v>
      </c>
      <c r="J69" t="s">
        <v>172</v>
      </c>
    </row>
    <row r="70" spans="8:10" x14ac:dyDescent="0.3">
      <c r="H70" t="s">
        <v>193</v>
      </c>
      <c r="I70">
        <v>10</v>
      </c>
      <c r="J70" t="s">
        <v>172</v>
      </c>
    </row>
    <row r="71" spans="8:10" x14ac:dyDescent="0.3">
      <c r="H71" t="s">
        <v>194</v>
      </c>
      <c r="I71">
        <v>10</v>
      </c>
      <c r="J71" t="s">
        <v>180</v>
      </c>
    </row>
    <row r="72" spans="8:10" x14ac:dyDescent="0.3">
      <c r="H72" t="s">
        <v>195</v>
      </c>
      <c r="I72">
        <v>10</v>
      </c>
      <c r="J72" t="s">
        <v>172</v>
      </c>
    </row>
    <row r="73" spans="8:10" x14ac:dyDescent="0.3">
      <c r="H73" t="s">
        <v>196</v>
      </c>
      <c r="I73">
        <v>10</v>
      </c>
      <c r="J73" t="s">
        <v>172</v>
      </c>
    </row>
    <row r="74" spans="8:10" x14ac:dyDescent="0.3">
      <c r="H74" t="s">
        <v>197</v>
      </c>
      <c r="I74">
        <v>10</v>
      </c>
      <c r="J74" t="s">
        <v>172</v>
      </c>
    </row>
    <row r="75" spans="8:10" x14ac:dyDescent="0.3">
      <c r="H75" t="s">
        <v>198</v>
      </c>
      <c r="I75">
        <v>10</v>
      </c>
      <c r="J75" t="s">
        <v>172</v>
      </c>
    </row>
    <row r="76" spans="8:10" x14ac:dyDescent="0.3">
      <c r="H76" t="s">
        <v>199</v>
      </c>
      <c r="I76">
        <v>10</v>
      </c>
      <c r="J76" t="s">
        <v>172</v>
      </c>
    </row>
    <row r="77" spans="8:10" x14ac:dyDescent="0.3">
      <c r="H77" t="s">
        <v>200</v>
      </c>
      <c r="I77">
        <v>10</v>
      </c>
      <c r="J77" t="s">
        <v>172</v>
      </c>
    </row>
    <row r="78" spans="8:10" x14ac:dyDescent="0.3">
      <c r="H78" t="s">
        <v>201</v>
      </c>
      <c r="I78">
        <v>10</v>
      </c>
      <c r="J78" t="s">
        <v>172</v>
      </c>
    </row>
    <row r="79" spans="8:10" x14ac:dyDescent="0.3">
      <c r="H79" t="s">
        <v>202</v>
      </c>
      <c r="I79">
        <v>10</v>
      </c>
      <c r="J79" t="s">
        <v>172</v>
      </c>
    </row>
    <row r="80" spans="8:10" x14ac:dyDescent="0.3">
      <c r="H80" t="s">
        <v>203</v>
      </c>
      <c r="I80">
        <v>10</v>
      </c>
      <c r="J80" t="s">
        <v>172</v>
      </c>
    </row>
    <row r="81" spans="8:10" x14ac:dyDescent="0.3">
      <c r="H81" t="s">
        <v>204</v>
      </c>
      <c r="I81">
        <v>10</v>
      </c>
      <c r="J81" t="s">
        <v>172</v>
      </c>
    </row>
    <row r="82" spans="8:10" x14ac:dyDescent="0.3">
      <c r="H82" t="s">
        <v>205</v>
      </c>
      <c r="I82">
        <v>1</v>
      </c>
      <c r="J82" t="s">
        <v>180</v>
      </c>
    </row>
  </sheetData>
  <mergeCells count="2">
    <mergeCell ref="H6:H10"/>
    <mergeCell ref="H27:H28"/>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6E9A8-FAC1-4B45-895A-C85F8F81C0F7}">
  <dimension ref="A1:U120"/>
  <sheetViews>
    <sheetView topLeftCell="A20" workbookViewId="0">
      <selection activeCell="B41" sqref="B41"/>
    </sheetView>
  </sheetViews>
  <sheetFormatPr defaultColWidth="8.77734375" defaultRowHeight="14.4" x14ac:dyDescent="0.3"/>
  <cols>
    <col min="8" max="8" width="18.6640625" customWidth="1"/>
    <col min="9" max="9" width="6.33203125" customWidth="1"/>
    <col min="10" max="10" width="39.109375" customWidth="1"/>
    <col min="11" max="11" width="39" bestFit="1" customWidth="1"/>
    <col min="18" max="18" width="29.33203125" bestFit="1" customWidth="1"/>
  </cols>
  <sheetData>
    <row r="1" spans="1:21" x14ac:dyDescent="0.3">
      <c r="B1" t="s">
        <v>12</v>
      </c>
      <c r="C1" t="s">
        <v>13</v>
      </c>
      <c r="D1" t="s">
        <v>14</v>
      </c>
      <c r="E1" t="s">
        <v>15</v>
      </c>
      <c r="F1" t="s">
        <v>16</v>
      </c>
      <c r="I1" t="s">
        <v>292</v>
      </c>
    </row>
    <row r="2" spans="1:21" x14ac:dyDescent="0.3">
      <c r="A2" t="s">
        <v>17</v>
      </c>
      <c r="B2" t="s">
        <v>18</v>
      </c>
      <c r="C2" t="s">
        <v>19</v>
      </c>
      <c r="E2" t="s">
        <v>19</v>
      </c>
      <c r="F2" t="s">
        <v>19</v>
      </c>
    </row>
    <row r="3" spans="1:21" x14ac:dyDescent="0.3">
      <c r="A3" t="s">
        <v>20</v>
      </c>
      <c r="B3" t="s">
        <v>4</v>
      </c>
      <c r="C3" t="s">
        <v>21</v>
      </c>
      <c r="D3" t="s">
        <v>19</v>
      </c>
      <c r="E3" t="s">
        <v>21</v>
      </c>
      <c r="F3" t="s">
        <v>21</v>
      </c>
      <c r="H3" t="s">
        <v>293</v>
      </c>
      <c r="J3" t="s">
        <v>260</v>
      </c>
      <c r="K3" t="s">
        <v>261</v>
      </c>
      <c r="L3" t="s">
        <v>262</v>
      </c>
    </row>
    <row r="4" spans="1:21" x14ac:dyDescent="0.3">
      <c r="B4" t="s">
        <v>22</v>
      </c>
      <c r="C4" t="s">
        <v>19</v>
      </c>
      <c r="D4" t="s">
        <v>19</v>
      </c>
      <c r="E4" t="s">
        <v>19</v>
      </c>
      <c r="H4" s="340" t="s">
        <v>604</v>
      </c>
      <c r="I4" s="341" t="s">
        <v>263</v>
      </c>
      <c r="J4" s="341" t="s">
        <v>264</v>
      </c>
      <c r="K4" s="341" t="s">
        <v>265</v>
      </c>
      <c r="L4" s="352" t="s">
        <v>266</v>
      </c>
    </row>
    <row r="5" spans="1:21" x14ac:dyDescent="0.3">
      <c r="B5" t="s">
        <v>26</v>
      </c>
      <c r="H5" s="340" t="s">
        <v>604</v>
      </c>
      <c r="K5" t="s">
        <v>267</v>
      </c>
      <c r="L5" s="343" t="s">
        <v>268</v>
      </c>
    </row>
    <row r="6" spans="1:21" x14ac:dyDescent="0.3">
      <c r="B6" t="s">
        <v>27</v>
      </c>
      <c r="H6" s="340" t="s">
        <v>604</v>
      </c>
      <c r="K6" t="s">
        <v>269</v>
      </c>
      <c r="L6" s="343" t="s">
        <v>270</v>
      </c>
    </row>
    <row r="7" spans="1:21" x14ac:dyDescent="0.3">
      <c r="B7" t="s">
        <v>6</v>
      </c>
      <c r="C7" t="s">
        <v>19</v>
      </c>
      <c r="D7" t="s">
        <v>21</v>
      </c>
      <c r="E7" t="s">
        <v>19</v>
      </c>
      <c r="H7" s="340" t="s">
        <v>604</v>
      </c>
      <c r="I7" s="344"/>
      <c r="J7" s="344"/>
      <c r="K7" s="344" t="s">
        <v>271</v>
      </c>
      <c r="L7" s="345" t="s">
        <v>272</v>
      </c>
    </row>
    <row r="8" spans="1:21" x14ac:dyDescent="0.3">
      <c r="B8" t="s">
        <v>28</v>
      </c>
      <c r="H8" s="346" t="s">
        <v>605</v>
      </c>
      <c r="I8" s="347" t="s">
        <v>273</v>
      </c>
      <c r="J8" s="347" t="s">
        <v>274</v>
      </c>
      <c r="K8" s="347" t="s">
        <v>636</v>
      </c>
      <c r="L8" s="348" t="s">
        <v>275</v>
      </c>
    </row>
    <row r="9" spans="1:21" x14ac:dyDescent="0.3">
      <c r="A9" s="5" t="s">
        <v>23</v>
      </c>
      <c r="B9" s="5" t="s">
        <v>24</v>
      </c>
      <c r="C9" s="5" t="s">
        <v>19</v>
      </c>
      <c r="D9" s="5" t="s">
        <v>19</v>
      </c>
      <c r="E9" s="5" t="s">
        <v>19</v>
      </c>
      <c r="F9" s="5" t="s">
        <v>19</v>
      </c>
      <c r="H9" s="346" t="s">
        <v>606</v>
      </c>
      <c r="I9" s="347" t="s">
        <v>276</v>
      </c>
      <c r="J9" s="347" t="s">
        <v>277</v>
      </c>
      <c r="K9" s="347" t="s">
        <v>278</v>
      </c>
      <c r="L9" s="348" t="s">
        <v>279</v>
      </c>
    </row>
    <row r="10" spans="1:21" x14ac:dyDescent="0.3">
      <c r="B10" s="5" t="s">
        <v>25</v>
      </c>
      <c r="C10" s="5"/>
      <c r="D10" s="5"/>
      <c r="E10" s="5"/>
      <c r="F10" s="5"/>
      <c r="H10" s="346" t="s">
        <v>607</v>
      </c>
      <c r="I10" s="347" t="s">
        <v>280</v>
      </c>
      <c r="J10" s="347" t="s">
        <v>281</v>
      </c>
      <c r="K10" s="347" t="s">
        <v>282</v>
      </c>
      <c r="L10" s="348" t="s">
        <v>283</v>
      </c>
    </row>
    <row r="11" spans="1:21" x14ac:dyDescent="0.3">
      <c r="B11" s="5" t="s">
        <v>29</v>
      </c>
      <c r="C11" s="5"/>
      <c r="D11" s="5"/>
      <c r="E11" s="5"/>
      <c r="F11" s="5"/>
      <c r="H11" s="340" t="s">
        <v>608</v>
      </c>
      <c r="I11" s="341" t="s">
        <v>284</v>
      </c>
      <c r="J11" s="341" t="s">
        <v>285</v>
      </c>
      <c r="K11" s="341" t="s">
        <v>286</v>
      </c>
      <c r="L11" s="342" t="s">
        <v>287</v>
      </c>
    </row>
    <row r="12" spans="1:21" x14ac:dyDescent="0.3">
      <c r="B12" s="5" t="s">
        <v>30</v>
      </c>
      <c r="C12" s="5"/>
      <c r="D12" s="5"/>
      <c r="E12" s="5"/>
      <c r="F12" s="5"/>
      <c r="H12" s="340" t="s">
        <v>608</v>
      </c>
      <c r="K12" t="s">
        <v>288</v>
      </c>
      <c r="L12" s="343" t="s">
        <v>289</v>
      </c>
    </row>
    <row r="13" spans="1:21" x14ac:dyDescent="0.3">
      <c r="B13" s="5" t="s">
        <v>31</v>
      </c>
      <c r="C13" s="5"/>
      <c r="D13" s="5"/>
      <c r="E13" s="5"/>
      <c r="F13" s="5"/>
      <c r="H13" s="340" t="s">
        <v>608</v>
      </c>
      <c r="I13" s="344"/>
      <c r="J13" s="344"/>
      <c r="K13" s="344" t="s">
        <v>290</v>
      </c>
      <c r="L13" s="345" t="s">
        <v>291</v>
      </c>
    </row>
    <row r="14" spans="1:21" x14ac:dyDescent="0.3">
      <c r="B14" s="5" t="s">
        <v>32</v>
      </c>
      <c r="C14" s="5"/>
      <c r="D14" s="5"/>
      <c r="E14" s="5"/>
      <c r="F14" s="5"/>
    </row>
    <row r="15" spans="1:21" x14ac:dyDescent="0.3">
      <c r="B15" s="5" t="s">
        <v>33</v>
      </c>
      <c r="C15" s="5"/>
      <c r="D15" s="5"/>
      <c r="E15" s="5"/>
      <c r="F15" s="5"/>
      <c r="H15" s="10" t="s">
        <v>614</v>
      </c>
    </row>
    <row r="16" spans="1:21" x14ac:dyDescent="0.3">
      <c r="B16" s="5" t="s">
        <v>34</v>
      </c>
      <c r="C16" s="5"/>
      <c r="D16" s="5"/>
      <c r="E16" s="5"/>
      <c r="F16" s="5"/>
      <c r="H16" t="s">
        <v>674</v>
      </c>
      <c r="J16" t="str">
        <f>'Input - Life Cycle Information'!C15</f>
        <v>480mL PP container + film or lid</v>
      </c>
      <c r="R16" t="s">
        <v>687</v>
      </c>
      <c r="T16" s="400" t="str">
        <f>'Single-use results'!CS3</f>
        <v>yes</v>
      </c>
      <c r="U16" t="s">
        <v>688</v>
      </c>
    </row>
    <row r="17" spans="1:21" x14ac:dyDescent="0.3">
      <c r="B17" s="5" t="s">
        <v>35</v>
      </c>
      <c r="C17" s="5"/>
      <c r="D17" s="5"/>
      <c r="E17" s="5"/>
      <c r="F17" s="5"/>
    </row>
    <row r="18" spans="1:21" x14ac:dyDescent="0.3">
      <c r="B18" s="5" t="s">
        <v>36</v>
      </c>
      <c r="C18" s="5"/>
      <c r="D18" s="5"/>
      <c r="E18" s="5"/>
      <c r="F18" s="5"/>
      <c r="J18" t="s">
        <v>683</v>
      </c>
      <c r="K18" t="s">
        <v>821</v>
      </c>
      <c r="L18" t="s">
        <v>632</v>
      </c>
      <c r="M18" s="11" t="s">
        <v>680</v>
      </c>
      <c r="N18" s="11" t="s">
        <v>681</v>
      </c>
      <c r="O18" s="11"/>
      <c r="R18" s="401" t="s">
        <v>684</v>
      </c>
      <c r="S18" s="401" t="s">
        <v>680</v>
      </c>
      <c r="T18" s="401" t="s">
        <v>681</v>
      </c>
      <c r="U18" s="402"/>
    </row>
    <row r="19" spans="1:21" x14ac:dyDescent="0.3">
      <c r="B19" t="s">
        <v>10</v>
      </c>
      <c r="C19" t="s">
        <v>19</v>
      </c>
      <c r="D19" t="s">
        <v>19</v>
      </c>
      <c r="E19" t="s">
        <v>19</v>
      </c>
      <c r="F19" t="s">
        <v>19</v>
      </c>
      <c r="H19" s="351" t="s">
        <v>327</v>
      </c>
      <c r="I19" t="s">
        <v>678</v>
      </c>
      <c r="J19" s="150">
        <f>DGcalcul!K48</f>
        <v>1.7029239826336667E-2</v>
      </c>
      <c r="K19" s="150">
        <f>DGcalcul!L48</f>
        <v>0.34058479652673335</v>
      </c>
      <c r="L19" s="150">
        <f>'Single-use results'!CS4</f>
        <v>0.15513288599999997</v>
      </c>
      <c r="M19" s="11" t="str">
        <f>IF(L19&lt;J19,"Single-use","Reusable")</f>
        <v>Reusable</v>
      </c>
      <c r="N19" s="398">
        <f>ROUND(K19/L19,0)</f>
        <v>2</v>
      </c>
      <c r="O19" s="11" t="s">
        <v>682</v>
      </c>
      <c r="R19" s="10" t="s">
        <v>330</v>
      </c>
      <c r="S19" s="10" t="str">
        <f>M58</f>
        <v>Reusable</v>
      </c>
      <c r="T19" s="399">
        <f>N58</f>
        <v>11</v>
      </c>
      <c r="U19" s="10" t="s">
        <v>682</v>
      </c>
    </row>
    <row r="20" spans="1:21" x14ac:dyDescent="0.3">
      <c r="B20" t="s">
        <v>37</v>
      </c>
      <c r="H20" t="s">
        <v>336</v>
      </c>
      <c r="I20" t="s">
        <v>13</v>
      </c>
      <c r="J20" s="150">
        <f>DGcalcul!K49</f>
        <v>1.4114885800000006E-2</v>
      </c>
      <c r="K20" s="150"/>
      <c r="L20" s="150">
        <f>'Single-use results'!CS5</f>
        <v>8.1943987999999995E-2</v>
      </c>
      <c r="M20" s="11"/>
      <c r="N20" s="11"/>
      <c r="O20" s="11"/>
      <c r="R20" s="10" t="s">
        <v>685</v>
      </c>
      <c r="S20" s="10" t="str">
        <f>M19</f>
        <v>Reusable</v>
      </c>
      <c r="T20" s="10">
        <f>N19</f>
        <v>2</v>
      </c>
      <c r="U20" s="10" t="s">
        <v>682</v>
      </c>
    </row>
    <row r="21" spans="1:21" x14ac:dyDescent="0.3">
      <c r="B21" t="s">
        <v>9</v>
      </c>
      <c r="C21" t="s">
        <v>19</v>
      </c>
      <c r="D21" t="s">
        <v>19</v>
      </c>
      <c r="E21" t="s">
        <v>19</v>
      </c>
      <c r="F21" t="s">
        <v>19</v>
      </c>
      <c r="I21" t="s">
        <v>306</v>
      </c>
      <c r="J21" s="150">
        <f>DGcalcul!K50</f>
        <v>3.8228525400000003E-5</v>
      </c>
      <c r="K21" s="150"/>
      <c r="L21" s="150">
        <f>'Single-use results'!CS6</f>
        <v>1.472512E-3</v>
      </c>
      <c r="M21" s="11"/>
      <c r="N21" s="11"/>
      <c r="O21" s="11"/>
      <c r="R21" s="10" t="s">
        <v>331</v>
      </c>
      <c r="S21" s="10" t="str">
        <f>M71</f>
        <v>Reusable</v>
      </c>
      <c r="T21" s="10">
        <f>N71</f>
        <v>2</v>
      </c>
      <c r="U21" s="10" t="s">
        <v>682</v>
      </c>
    </row>
    <row r="22" spans="1:21" x14ac:dyDescent="0.3">
      <c r="B22" t="s">
        <v>37</v>
      </c>
      <c r="I22" t="s">
        <v>312</v>
      </c>
      <c r="J22" s="150">
        <f>DGcalcul!K51</f>
        <v>2.407602318E-3</v>
      </c>
      <c r="K22" s="150"/>
      <c r="L22" s="150" t="str">
        <f>'Single-use results'!CS7</f>
        <v>x</v>
      </c>
      <c r="M22" s="11"/>
      <c r="N22" s="456"/>
      <c r="O22" s="11"/>
      <c r="R22" s="10" t="s">
        <v>329</v>
      </c>
      <c r="S22" s="10" t="str">
        <f>M45</f>
        <v>Reusable</v>
      </c>
      <c r="T22" s="10">
        <f>N45</f>
        <v>4</v>
      </c>
      <c r="U22" s="10" t="s">
        <v>682</v>
      </c>
    </row>
    <row r="23" spans="1:21" x14ac:dyDescent="0.3">
      <c r="I23" t="s">
        <v>314</v>
      </c>
      <c r="J23" s="150">
        <f>DGcalcul!K52</f>
        <v>0</v>
      </c>
      <c r="K23" s="150"/>
      <c r="L23" s="150" t="str">
        <f>'Single-use results'!CS8</f>
        <v>x</v>
      </c>
      <c r="M23" s="11"/>
      <c r="N23" s="11"/>
      <c r="O23" s="11"/>
      <c r="R23" s="10" t="s">
        <v>328</v>
      </c>
      <c r="S23" s="10" t="str">
        <f>M32</f>
        <v>Single-use</v>
      </c>
      <c r="T23" s="399">
        <f>N32</f>
        <v>2101</v>
      </c>
      <c r="U23" s="10" t="s">
        <v>682</v>
      </c>
    </row>
    <row r="24" spans="1:21" x14ac:dyDescent="0.3">
      <c r="A24" s="7" t="s">
        <v>610</v>
      </c>
      <c r="I24" t="s">
        <v>320</v>
      </c>
      <c r="J24" s="150" t="e">
        <f>DGcalcul!K53</f>
        <v>#N/A</v>
      </c>
      <c r="K24" s="150"/>
      <c r="L24" s="150" t="e">
        <f>'Single-use results'!CS9</f>
        <v>#N/A</v>
      </c>
      <c r="M24" s="11"/>
      <c r="N24" s="11"/>
      <c r="O24" s="11"/>
      <c r="R24" s="10" t="s">
        <v>432</v>
      </c>
      <c r="S24" s="10" t="str">
        <f>M97</f>
        <v>Reusable</v>
      </c>
      <c r="T24" s="10">
        <f>N97</f>
        <v>4</v>
      </c>
      <c r="U24" s="10" t="s">
        <v>682</v>
      </c>
    </row>
    <row r="25" spans="1:21" x14ac:dyDescent="0.3">
      <c r="A25" s="340" t="s">
        <v>604</v>
      </c>
      <c r="I25" t="s">
        <v>337</v>
      </c>
      <c r="J25" s="150" t="e">
        <f>DGcalcul!K54</f>
        <v>#N/A</v>
      </c>
      <c r="K25" s="150"/>
      <c r="L25" s="150">
        <f>'Single-use results'!CS10</f>
        <v>-1.43838824E-3</v>
      </c>
      <c r="M25" s="11"/>
      <c r="N25" s="11"/>
      <c r="O25" s="11"/>
      <c r="R25" s="10" t="s">
        <v>334</v>
      </c>
      <c r="S25" s="10" t="str">
        <f>M110</f>
        <v>Reusable</v>
      </c>
      <c r="T25" s="10">
        <f>N110</f>
        <v>4</v>
      </c>
      <c r="U25" s="10" t="s">
        <v>682</v>
      </c>
    </row>
    <row r="26" spans="1:21" x14ac:dyDescent="0.3">
      <c r="A26" s="346" t="s">
        <v>605</v>
      </c>
      <c r="I26" t="s">
        <v>321</v>
      </c>
      <c r="J26" s="150" t="e">
        <f>DGcalcul!K55</f>
        <v>#N/A</v>
      </c>
      <c r="K26" s="150"/>
      <c r="L26" s="150" t="e">
        <f>'Single-use results'!CS11</f>
        <v>#N/A</v>
      </c>
      <c r="M26" s="11"/>
      <c r="N26" s="11"/>
      <c r="O26" s="11"/>
      <c r="R26" s="10" t="s">
        <v>332</v>
      </c>
      <c r="S26" s="10" t="str">
        <f>M84</f>
        <v>Reusable</v>
      </c>
      <c r="T26" s="10">
        <f>N84</f>
        <v>3</v>
      </c>
      <c r="U26" s="10" t="s">
        <v>682</v>
      </c>
    </row>
    <row r="27" spans="1:21" x14ac:dyDescent="0.3">
      <c r="A27" s="346" t="s">
        <v>606</v>
      </c>
      <c r="I27" t="s">
        <v>322</v>
      </c>
      <c r="J27" s="150" t="str">
        <f>DGcalcul!K56</f>
        <v>no impact, no calculation</v>
      </c>
      <c r="K27" s="150"/>
      <c r="L27" s="150" t="str">
        <f>'Single-use results'!CS12</f>
        <v>x</v>
      </c>
      <c r="M27" s="11"/>
      <c r="N27" s="11"/>
      <c r="O27" s="11"/>
      <c r="R27" s="10"/>
      <c r="S27" s="10"/>
      <c r="T27" s="10"/>
      <c r="U27" s="10"/>
    </row>
    <row r="28" spans="1:21" x14ac:dyDescent="0.3">
      <c r="A28" s="346" t="s">
        <v>607</v>
      </c>
      <c r="I28" t="s">
        <v>339</v>
      </c>
      <c r="J28" s="150">
        <f>DGcalcul!K57</f>
        <v>0.32402407988333332</v>
      </c>
      <c r="K28" s="150"/>
      <c r="L28" s="150">
        <f>'Single-use results'!CS13</f>
        <v>7.1716385999999993E-2</v>
      </c>
      <c r="M28" s="11"/>
      <c r="N28" s="11"/>
      <c r="O28" s="11"/>
      <c r="R28" s="10"/>
      <c r="S28" s="10" t="s">
        <v>686</v>
      </c>
      <c r="T28" s="399">
        <f>DGcalcul!E14</f>
        <v>20</v>
      </c>
      <c r="U28" s="10"/>
    </row>
    <row r="29" spans="1:21" x14ac:dyDescent="0.3">
      <c r="A29" s="340" t="s">
        <v>608</v>
      </c>
      <c r="I29" t="s">
        <v>340</v>
      </c>
      <c r="J29" s="150">
        <f>DGcalcul!K58</f>
        <v>0.5</v>
      </c>
      <c r="K29" s="150"/>
      <c r="L29" s="150">
        <f>'Single-use results'!CS14</f>
        <v>0</v>
      </c>
      <c r="M29" s="11"/>
      <c r="N29" s="11"/>
      <c r="O29" s="11"/>
    </row>
    <row r="30" spans="1:21" x14ac:dyDescent="0.3">
      <c r="J30" s="150"/>
      <c r="K30" s="150"/>
      <c r="L30" s="150"/>
      <c r="M30" s="11"/>
      <c r="N30" s="11"/>
      <c r="O30" s="11"/>
    </row>
    <row r="31" spans="1:21" x14ac:dyDescent="0.3">
      <c r="B31" t="s">
        <v>611</v>
      </c>
      <c r="J31" s="150"/>
      <c r="K31" s="150"/>
      <c r="L31" s="150"/>
      <c r="M31" s="11" t="s">
        <v>680</v>
      </c>
      <c r="N31" s="11" t="s">
        <v>681</v>
      </c>
      <c r="O31" s="11"/>
    </row>
    <row r="32" spans="1:21" x14ac:dyDescent="0.3">
      <c r="B32" t="str">
        <f>'Input - Life Cycle Information'!C14</f>
        <v>Supermarket catering container</v>
      </c>
      <c r="H32" t="s">
        <v>328</v>
      </c>
      <c r="I32" t="s">
        <v>678</v>
      </c>
      <c r="J32" s="150">
        <f>DGcalcul!K61</f>
        <v>5.4626575370913331E-2</v>
      </c>
      <c r="K32" s="150">
        <f>DGcalcul!L61</f>
        <v>1.0925315074182667</v>
      </c>
      <c r="L32" s="150">
        <f>'Single-use results'!CS17</f>
        <v>5.199570095E-4</v>
      </c>
      <c r="M32" s="11" t="str">
        <f>IF(L32&lt;J32,"Single-use","Reusable")</f>
        <v>Single-use</v>
      </c>
      <c r="N32" s="398">
        <f>ROUND(K32/L32,0)</f>
        <v>2101</v>
      </c>
      <c r="O32" s="11" t="s">
        <v>682</v>
      </c>
    </row>
    <row r="33" spans="1:15" x14ac:dyDescent="0.3">
      <c r="H33" t="s">
        <v>342</v>
      </c>
      <c r="I33" t="s">
        <v>13</v>
      </c>
      <c r="J33" s="150">
        <f>DGcalcul!K62</f>
        <v>5.2423877600000012E-5</v>
      </c>
      <c r="K33" s="150"/>
      <c r="L33" s="150">
        <f>'Single-use results'!CS18</f>
        <v>3.56229856E-4</v>
      </c>
      <c r="M33" s="11"/>
      <c r="N33" s="11"/>
      <c r="O33" s="11"/>
    </row>
    <row r="34" spans="1:15" x14ac:dyDescent="0.3">
      <c r="A34">
        <v>1</v>
      </c>
      <c r="B34" t="s">
        <v>612</v>
      </c>
      <c r="I34" t="s">
        <v>306</v>
      </c>
      <c r="J34" s="150">
        <f>DGcalcul!K63</f>
        <v>2.0061212300000002E-2</v>
      </c>
      <c r="K34" s="150"/>
      <c r="L34" s="150">
        <f>'Single-use results'!CS19</f>
        <v>3.7591755E-6</v>
      </c>
      <c r="M34" s="11"/>
      <c r="N34" s="456"/>
      <c r="O34" s="11"/>
    </row>
    <row r="35" spans="1:15" x14ac:dyDescent="0.3">
      <c r="A35">
        <v>2</v>
      </c>
      <c r="B35" t="str">
        <f>IF((B32=H4),K4,IF((B32=H8),K8,IF((B32=H9),K9,IF((B32=H10),K10,IF((B32=H11),K11)))))</f>
        <v>500mL PET box</v>
      </c>
      <c r="I35" t="s">
        <v>312</v>
      </c>
      <c r="J35" s="150">
        <f>DGcalcul!K64</f>
        <v>1.071617976</v>
      </c>
      <c r="K35" s="150"/>
      <c r="L35" s="150" t="str">
        <f>'Single-use results'!CS20</f>
        <v>x</v>
      </c>
      <c r="M35" s="11"/>
      <c r="N35" s="11"/>
      <c r="O35" s="11"/>
    </row>
    <row r="36" spans="1:15" x14ac:dyDescent="0.3">
      <c r="A36">
        <v>3</v>
      </c>
      <c r="B36" t="str">
        <f>IF((B32=H5),K5,IF((B32=H12),K12,""))</f>
        <v>480mL PP container + film or lid</v>
      </c>
      <c r="I36" t="s">
        <v>314</v>
      </c>
      <c r="J36" s="150">
        <f>DGcalcul!K65</f>
        <v>0</v>
      </c>
      <c r="K36" s="150"/>
      <c r="L36" s="150" t="str">
        <f>'Single-use results'!CS21</f>
        <v>x</v>
      </c>
      <c r="M36" s="11"/>
      <c r="N36" s="11"/>
      <c r="O36" s="11"/>
    </row>
    <row r="37" spans="1:15" x14ac:dyDescent="0.3">
      <c r="A37">
        <v>4</v>
      </c>
      <c r="B37" t="str">
        <f>IF((B32=H6),K6,IF((B32=H13),K13,""))</f>
        <v>500mL PE laminated cardboard container+ film</v>
      </c>
      <c r="I37" t="s">
        <v>320</v>
      </c>
      <c r="J37" s="150" t="e">
        <f>DGcalcul!K66</f>
        <v>#N/A</v>
      </c>
      <c r="K37" s="150"/>
      <c r="L37" s="150" t="e">
        <f>'Single-use results'!CS22</f>
        <v>#N/A</v>
      </c>
      <c r="M37" s="11"/>
      <c r="N37" s="11"/>
      <c r="O37" s="11"/>
    </row>
    <row r="38" spans="1:15" x14ac:dyDescent="0.3">
      <c r="A38">
        <v>5</v>
      </c>
      <c r="B38" t="str">
        <f>IF((B32=H7),K7,"")</f>
        <v/>
      </c>
      <c r="I38" t="s">
        <v>337</v>
      </c>
      <c r="J38" s="150" t="e">
        <f>DGcalcul!K67</f>
        <v>#N/A</v>
      </c>
      <c r="K38" s="150"/>
      <c r="L38" s="150">
        <f>'Single-use results'!CS23</f>
        <v>-3.8428144000000004E-6</v>
      </c>
      <c r="M38" s="11"/>
      <c r="N38" s="11"/>
      <c r="O38" s="11"/>
    </row>
    <row r="39" spans="1:15" x14ac:dyDescent="0.3">
      <c r="I39" t="s">
        <v>321</v>
      </c>
      <c r="J39" s="150" t="e">
        <f>DGcalcul!K68</f>
        <v>#N/A</v>
      </c>
      <c r="K39" s="150"/>
      <c r="L39" s="150" t="e">
        <f>'Single-use results'!CS24</f>
        <v>#N/A</v>
      </c>
      <c r="M39" s="11"/>
      <c r="N39" s="11"/>
      <c r="O39" s="11"/>
    </row>
    <row r="40" spans="1:15" x14ac:dyDescent="0.3">
      <c r="B40" t="s">
        <v>611</v>
      </c>
      <c r="I40" t="s">
        <v>322</v>
      </c>
      <c r="J40" s="150" t="str">
        <f>DGcalcul!K69</f>
        <v>no impact, no calculation</v>
      </c>
      <c r="K40" s="150"/>
      <c r="L40" s="150" t="str">
        <f>'Single-use results'!CS25</f>
        <v>x</v>
      </c>
      <c r="M40" s="11"/>
      <c r="N40" s="11"/>
      <c r="O40" s="11"/>
    </row>
    <row r="41" spans="1:15" x14ac:dyDescent="0.3">
      <c r="B41" t="str">
        <f>'Input - Life Cycle Information'!C15</f>
        <v>480mL PP container + film or lid</v>
      </c>
      <c r="I41" t="s">
        <v>339</v>
      </c>
      <c r="J41" s="150">
        <f>DGcalcul!K70</f>
        <v>7.9989524066666673E-4</v>
      </c>
      <c r="K41" s="150"/>
      <c r="L41" s="150">
        <f>'Single-use results'!CS26</f>
        <v>1.59967978E-4</v>
      </c>
      <c r="M41" s="11"/>
      <c r="N41" s="11"/>
      <c r="O41" s="11"/>
    </row>
    <row r="42" spans="1:15" x14ac:dyDescent="0.3">
      <c r="I42" t="s">
        <v>340</v>
      </c>
      <c r="J42" s="150">
        <f>DGcalcul!K71</f>
        <v>0.5</v>
      </c>
      <c r="K42" s="150"/>
      <c r="L42" s="150">
        <f>'Single-use results'!CS27</f>
        <v>0</v>
      </c>
      <c r="M42" s="11"/>
      <c r="N42" s="11"/>
      <c r="O42" s="11"/>
    </row>
    <row r="43" spans="1:15" x14ac:dyDescent="0.3">
      <c r="J43" s="150"/>
      <c r="K43" s="150"/>
      <c r="L43" s="150"/>
      <c r="M43" s="11"/>
      <c r="N43" s="11"/>
      <c r="O43" s="11"/>
    </row>
    <row r="44" spans="1:15" x14ac:dyDescent="0.3">
      <c r="J44" s="150"/>
      <c r="K44" s="150"/>
      <c r="L44" s="150"/>
      <c r="M44" s="11" t="s">
        <v>680</v>
      </c>
      <c r="N44" s="11" t="s">
        <v>681</v>
      </c>
      <c r="O44" s="11"/>
    </row>
    <row r="45" spans="1:15" x14ac:dyDescent="0.3">
      <c r="H45" t="s">
        <v>329</v>
      </c>
      <c r="I45" t="s">
        <v>678</v>
      </c>
      <c r="J45" s="150">
        <f>DGcalcul!K74</f>
        <v>1.1881456599458335E-9</v>
      </c>
      <c r="K45" s="150">
        <f>DGcalcul!L74</f>
        <v>2.3762913198916669E-8</v>
      </c>
      <c r="L45" s="150">
        <f>'Single-use results'!CS30</f>
        <v>5.442027203E-9</v>
      </c>
      <c r="M45" s="11" t="str">
        <f>IF(L45&lt;J45,"Single-use","Reusable")</f>
        <v>Reusable</v>
      </c>
      <c r="N45" s="398">
        <f>ROUND(K45/L45,0)</f>
        <v>4</v>
      </c>
      <c r="O45" s="11" t="s">
        <v>682</v>
      </c>
    </row>
    <row r="46" spans="1:15" x14ac:dyDescent="0.3">
      <c r="H46" t="s">
        <v>343</v>
      </c>
      <c r="I46" t="s">
        <v>13</v>
      </c>
      <c r="J46" s="150">
        <f>DGcalcul!K75</f>
        <v>5.9953130000000031E-10</v>
      </c>
      <c r="K46" s="150"/>
      <c r="L46" s="150">
        <f>'Single-use results'!CS31</f>
        <v>3.4746552600000001E-9</v>
      </c>
      <c r="M46" s="11"/>
      <c r="N46" s="11"/>
      <c r="O46" s="11"/>
    </row>
    <row r="47" spans="1:15" x14ac:dyDescent="0.3">
      <c r="I47" t="s">
        <v>306</v>
      </c>
      <c r="J47" s="150">
        <f>DGcalcul!K76</f>
        <v>4.6684711950000002E-10</v>
      </c>
      <c r="K47" s="150"/>
      <c r="L47" s="150">
        <f>'Single-use results'!CS32</f>
        <v>4.9922663E-11</v>
      </c>
      <c r="M47" s="11"/>
      <c r="N47" s="11"/>
      <c r="O47" s="11"/>
    </row>
    <row r="48" spans="1:15" x14ac:dyDescent="0.3">
      <c r="I48" t="s">
        <v>312</v>
      </c>
      <c r="J48" s="150">
        <f>DGcalcul!K77</f>
        <v>1.4343878340000001E-8</v>
      </c>
      <c r="K48" s="150"/>
      <c r="L48" s="150" t="str">
        <f>'Single-use results'!CS33</f>
        <v>x</v>
      </c>
      <c r="M48" s="11"/>
      <c r="N48" s="11"/>
      <c r="O48" s="11"/>
    </row>
    <row r="49" spans="8:15" x14ac:dyDescent="0.3">
      <c r="I49" t="s">
        <v>314</v>
      </c>
      <c r="J49" s="150">
        <f>DGcalcul!K78</f>
        <v>0</v>
      </c>
      <c r="K49" s="150"/>
      <c r="L49" s="150" t="str">
        <f>'Single-use results'!CS34</f>
        <v>x</v>
      </c>
      <c r="M49" s="11"/>
      <c r="N49" s="11"/>
      <c r="O49" s="11"/>
    </row>
    <row r="50" spans="8:15" x14ac:dyDescent="0.3">
      <c r="I50" t="s">
        <v>320</v>
      </c>
      <c r="J50" s="150" t="e">
        <f>DGcalcul!K79</f>
        <v>#N/A</v>
      </c>
      <c r="K50" s="150"/>
      <c r="L50" s="150" t="e">
        <f>'Single-use results'!CS35</f>
        <v>#N/A</v>
      </c>
      <c r="M50" s="11"/>
      <c r="N50" s="11"/>
      <c r="O50" s="11"/>
    </row>
    <row r="51" spans="8:15" x14ac:dyDescent="0.3">
      <c r="I51" t="s">
        <v>337</v>
      </c>
      <c r="J51" s="150" t="e">
        <f>DGcalcul!K80</f>
        <v>#N/A</v>
      </c>
      <c r="K51" s="150"/>
      <c r="L51" s="150">
        <f>'Single-use results'!CS36</f>
        <v>-4.4278312000000004E-10</v>
      </c>
      <c r="M51" s="11"/>
      <c r="N51" s="11"/>
      <c r="O51" s="11"/>
    </row>
    <row r="52" spans="8:15" x14ac:dyDescent="0.3">
      <c r="I52" t="s">
        <v>321</v>
      </c>
      <c r="J52" s="150" t="e">
        <f>DGcalcul!K81</f>
        <v>#N/A</v>
      </c>
      <c r="K52" s="150"/>
      <c r="L52" s="150" t="e">
        <f>'Single-use results'!CS37</f>
        <v>#N/A</v>
      </c>
      <c r="M52" s="11"/>
      <c r="N52" s="11"/>
      <c r="O52" s="11"/>
    </row>
    <row r="53" spans="8:15" x14ac:dyDescent="0.3">
      <c r="I53" t="s">
        <v>322</v>
      </c>
      <c r="J53" s="150" t="str">
        <f>DGcalcul!K82</f>
        <v>no impact, no calculation</v>
      </c>
      <c r="K53" s="150"/>
      <c r="L53" s="150" t="str">
        <f>'Single-use results'!CS38</f>
        <v>x</v>
      </c>
      <c r="M53" s="11"/>
      <c r="N53" s="11"/>
      <c r="O53" s="11"/>
    </row>
    <row r="54" spans="8:15" x14ac:dyDescent="0.3">
      <c r="I54" t="s">
        <v>339</v>
      </c>
      <c r="J54" s="150">
        <f>DGcalcul!K83</f>
        <v>8.3526564394166667E-9</v>
      </c>
      <c r="K54" s="150"/>
      <c r="L54" s="150">
        <f>'Single-use results'!CS39</f>
        <v>1.9174492799999999E-9</v>
      </c>
      <c r="M54" s="11"/>
      <c r="N54" s="11"/>
      <c r="O54" s="11"/>
    </row>
    <row r="55" spans="8:15" x14ac:dyDescent="0.3">
      <c r="I55" t="s">
        <v>340</v>
      </c>
      <c r="J55" s="150">
        <f>DGcalcul!K84</f>
        <v>0.5</v>
      </c>
      <c r="K55" s="150"/>
      <c r="L55" s="150">
        <f>'Single-use results'!CS40</f>
        <v>0</v>
      </c>
      <c r="M55" s="11"/>
      <c r="N55" s="11"/>
      <c r="O55" s="11"/>
    </row>
    <row r="56" spans="8:15" x14ac:dyDescent="0.3">
      <c r="J56" s="150"/>
      <c r="K56" s="150"/>
      <c r="L56" s="150"/>
      <c r="M56" s="11"/>
      <c r="N56" s="11"/>
      <c r="O56" s="11"/>
    </row>
    <row r="57" spans="8:15" x14ac:dyDescent="0.3">
      <c r="J57" s="150"/>
      <c r="K57" s="150"/>
      <c r="L57" s="150"/>
      <c r="M57" s="11" t="s">
        <v>680</v>
      </c>
      <c r="N57" s="11" t="s">
        <v>681</v>
      </c>
      <c r="O57" s="11"/>
    </row>
    <row r="58" spans="8:15" x14ac:dyDescent="0.3">
      <c r="H58" t="s">
        <v>330</v>
      </c>
      <c r="I58" t="s">
        <v>678</v>
      </c>
      <c r="J58" s="150">
        <f>DGcalcul!K87</f>
        <v>2.5988236206333338E-4</v>
      </c>
      <c r="K58" s="150">
        <f>DGcalcul!L87</f>
        <v>5.1976472412666678E-3</v>
      </c>
      <c r="L58" s="150">
        <f>'Single-use results'!CS43</f>
        <v>4.8667381990000002E-4</v>
      </c>
      <c r="M58" s="11" t="str">
        <f>IF(L58&lt;J58,"Single-use","Reusable")</f>
        <v>Reusable</v>
      </c>
      <c r="N58" s="398">
        <f>ROUND(K58/L58,0)</f>
        <v>11</v>
      </c>
      <c r="O58" s="11" t="s">
        <v>682</v>
      </c>
    </row>
    <row r="59" spans="8:15" x14ac:dyDescent="0.3">
      <c r="H59" t="s">
        <v>344</v>
      </c>
      <c r="I59" t="s">
        <v>13</v>
      </c>
      <c r="J59" s="150">
        <f>DGcalcul!K88</f>
        <v>6.0310893000000027E-5</v>
      </c>
      <c r="K59" s="150"/>
      <c r="L59" s="150">
        <f>'Single-use results'!CS44</f>
        <v>2.8892995200000004E-4</v>
      </c>
      <c r="M59" s="11"/>
      <c r="N59" s="11"/>
      <c r="O59" s="11"/>
    </row>
    <row r="60" spans="8:15" x14ac:dyDescent="0.3">
      <c r="I60" t="s">
        <v>306</v>
      </c>
      <c r="J60" s="150">
        <f>DGcalcul!K89</f>
        <v>9.0521908300000002E-5</v>
      </c>
      <c r="K60" s="150"/>
      <c r="L60" s="150">
        <f>'Single-use results'!CS45</f>
        <v>4.0139679E-6</v>
      </c>
      <c r="M60" s="11"/>
      <c r="N60" s="11"/>
      <c r="O60" s="11"/>
    </row>
    <row r="61" spans="8:15" x14ac:dyDescent="0.3">
      <c r="I61" t="s">
        <v>312</v>
      </c>
      <c r="J61" s="150">
        <f>DGcalcul!K90</f>
        <v>4.1758867920000005E-3</v>
      </c>
      <c r="K61" s="150"/>
      <c r="L61" s="150" t="str">
        <f>'Single-use results'!CS46</f>
        <v>x</v>
      </c>
      <c r="M61" s="11"/>
      <c r="N61" s="11"/>
      <c r="O61" s="11"/>
    </row>
    <row r="62" spans="8:15" x14ac:dyDescent="0.3">
      <c r="I62" t="s">
        <v>314</v>
      </c>
      <c r="J62" s="150">
        <f>DGcalcul!K91</f>
        <v>0</v>
      </c>
      <c r="K62" s="150"/>
      <c r="L62" s="150" t="str">
        <f>'Single-use results'!CS47</f>
        <v>x</v>
      </c>
      <c r="M62" s="11"/>
      <c r="N62" s="11"/>
      <c r="O62" s="11"/>
    </row>
    <row r="63" spans="8:15" x14ac:dyDescent="0.3">
      <c r="I63" t="s">
        <v>320</v>
      </c>
      <c r="J63" s="150" t="e">
        <f>DGcalcul!K92</f>
        <v>#N/A</v>
      </c>
      <c r="K63" s="150"/>
      <c r="L63" s="150" t="e">
        <f>'Single-use results'!CS48</f>
        <v>#N/A</v>
      </c>
      <c r="M63" s="11"/>
      <c r="N63" s="11"/>
      <c r="O63" s="11"/>
    </row>
    <row r="64" spans="8:15" x14ac:dyDescent="0.3">
      <c r="I64" t="s">
        <v>337</v>
      </c>
      <c r="J64" s="150" t="e">
        <f>DGcalcul!K93</f>
        <v>#N/A</v>
      </c>
      <c r="K64" s="150"/>
      <c r="L64" s="150">
        <f>'Single-use results'!CS49</f>
        <v>-5.6880590000000002E-6</v>
      </c>
      <c r="M64" s="11"/>
      <c r="N64" s="11"/>
      <c r="O64" s="11"/>
    </row>
    <row r="65" spans="8:15" x14ac:dyDescent="0.3">
      <c r="I65" t="s">
        <v>321</v>
      </c>
      <c r="J65" s="150" t="e">
        <f>DGcalcul!K94</f>
        <v>#N/A</v>
      </c>
      <c r="K65" s="150"/>
      <c r="L65" s="150" t="e">
        <f>'Single-use results'!CS50</f>
        <v>#N/A</v>
      </c>
      <c r="M65" s="11"/>
      <c r="N65" s="11"/>
      <c r="O65" s="11"/>
    </row>
    <row r="66" spans="8:15" x14ac:dyDescent="0.3">
      <c r="I66" t="s">
        <v>322</v>
      </c>
      <c r="J66" s="150" t="str">
        <f>DGcalcul!K95</f>
        <v>no impact, no calculation</v>
      </c>
      <c r="K66" s="150"/>
      <c r="L66" s="150" t="str">
        <f>'Single-use results'!CS51</f>
        <v>x</v>
      </c>
      <c r="M66" s="11"/>
      <c r="N66" s="11"/>
      <c r="O66" s="11"/>
    </row>
    <row r="67" spans="8:15" x14ac:dyDescent="0.3">
      <c r="I67" t="s">
        <v>339</v>
      </c>
      <c r="J67" s="150">
        <f>DGcalcul!K96</f>
        <v>8.7092764796666672E-4</v>
      </c>
      <c r="K67" s="150"/>
      <c r="L67" s="150">
        <f>'Single-use results'!CS52</f>
        <v>1.937299E-4</v>
      </c>
      <c r="M67" s="11"/>
      <c r="N67" s="11"/>
      <c r="O67" s="11"/>
    </row>
    <row r="68" spans="8:15" x14ac:dyDescent="0.3">
      <c r="I68" t="s">
        <v>340</v>
      </c>
      <c r="J68" s="150">
        <f>DGcalcul!K97</f>
        <v>0.5</v>
      </c>
      <c r="K68" s="150"/>
      <c r="L68" s="150">
        <f>'Single-use results'!CS53</f>
        <v>0</v>
      </c>
      <c r="M68" s="11"/>
      <c r="N68" s="11"/>
      <c r="O68" s="11"/>
    </row>
    <row r="69" spans="8:15" x14ac:dyDescent="0.3">
      <c r="J69" s="150"/>
      <c r="K69" s="150"/>
      <c r="L69" s="150"/>
      <c r="M69" s="11"/>
      <c r="N69" s="11"/>
      <c r="O69" s="11"/>
    </row>
    <row r="70" spans="8:15" x14ac:dyDescent="0.3">
      <c r="J70" s="150"/>
      <c r="K70" s="150"/>
      <c r="L70" s="150"/>
      <c r="M70" s="11" t="s">
        <v>680</v>
      </c>
      <c r="N70" s="11" t="s">
        <v>681</v>
      </c>
      <c r="O70" s="11"/>
    </row>
    <row r="71" spans="8:15" x14ac:dyDescent="0.3">
      <c r="H71" t="s">
        <v>331</v>
      </c>
      <c r="I71" t="s">
        <v>678</v>
      </c>
      <c r="J71" s="150">
        <f>DGcalcul!K100</f>
        <v>2.2399692152997209E-6</v>
      </c>
      <c r="K71" s="150">
        <f>DGcalcul!L100</f>
        <v>4.4799384305994419E-5</v>
      </c>
      <c r="L71" s="150">
        <f>'Single-use results'!CS56</f>
        <v>2.6647276849999998E-5</v>
      </c>
      <c r="M71" s="11" t="str">
        <f>IF(L71&lt;J71,"Single-use","Reusable")</f>
        <v>Reusable</v>
      </c>
      <c r="N71" s="398">
        <f>ROUND(K71/L71,0)</f>
        <v>2</v>
      </c>
      <c r="O71" s="11" t="s">
        <v>682</v>
      </c>
    </row>
    <row r="72" spans="8:15" x14ac:dyDescent="0.3">
      <c r="H72" t="s">
        <v>345</v>
      </c>
      <c r="I72" t="s">
        <v>13</v>
      </c>
      <c r="J72" s="150">
        <f>DGcalcul!K101</f>
        <v>2.8933568600000007E-6</v>
      </c>
      <c r="K72" s="150"/>
      <c r="L72" s="150">
        <f>'Single-use results'!CS57</f>
        <v>1.8572559699999998E-5</v>
      </c>
      <c r="M72" s="11"/>
      <c r="N72" s="11"/>
      <c r="O72" s="11"/>
    </row>
    <row r="73" spans="8:15" x14ac:dyDescent="0.3">
      <c r="I73" t="s">
        <v>306</v>
      </c>
      <c r="J73" s="150">
        <f>DGcalcul!K102</f>
        <v>5.6152267750000007E-11</v>
      </c>
      <c r="K73" s="150"/>
      <c r="L73" s="150">
        <f>'Single-use results'!CS58</f>
        <v>1.9654675000000001E-7</v>
      </c>
      <c r="M73" s="11"/>
      <c r="N73" s="11"/>
      <c r="O73" s="11"/>
    </row>
    <row r="74" spans="8:15" x14ac:dyDescent="0.3">
      <c r="I74" t="s">
        <v>312</v>
      </c>
      <c r="J74" s="150">
        <f>DGcalcul!K103</f>
        <v>1.30864206E-9</v>
      </c>
      <c r="K74" s="150"/>
      <c r="L74" s="150" t="str">
        <f>'Single-use results'!CS59</f>
        <v>x</v>
      </c>
      <c r="M74" s="11"/>
      <c r="N74" s="11"/>
      <c r="O74" s="11"/>
    </row>
    <row r="75" spans="8:15" x14ac:dyDescent="0.3">
      <c r="I75" t="s">
        <v>314</v>
      </c>
      <c r="J75" s="150">
        <f>DGcalcul!K104</f>
        <v>0</v>
      </c>
      <c r="K75" s="150"/>
      <c r="L75" s="150" t="str">
        <f>'Single-use results'!CS60</f>
        <v>x</v>
      </c>
      <c r="M75" s="11"/>
      <c r="N75" s="11"/>
      <c r="O75" s="11"/>
    </row>
    <row r="76" spans="8:15" x14ac:dyDescent="0.3">
      <c r="I76" t="s">
        <v>320</v>
      </c>
      <c r="J76" s="150" t="e">
        <f>DGcalcul!K105</f>
        <v>#N/A</v>
      </c>
      <c r="K76" s="150"/>
      <c r="L76" s="150" t="e">
        <f>'Single-use results'!CS61</f>
        <v>#N/A</v>
      </c>
      <c r="M76" s="11"/>
      <c r="N76" s="11"/>
      <c r="O76" s="11"/>
    </row>
    <row r="77" spans="8:15" x14ac:dyDescent="0.3">
      <c r="I77" t="s">
        <v>337</v>
      </c>
      <c r="J77" s="150" t="e">
        <f>DGcalcul!K106</f>
        <v>#N/A</v>
      </c>
      <c r="K77" s="150"/>
      <c r="L77" s="150">
        <f>'Single-use results'!CS62</f>
        <v>-6.7543713999999997E-7</v>
      </c>
      <c r="M77" s="11"/>
      <c r="N77" s="11"/>
      <c r="O77" s="11"/>
    </row>
    <row r="78" spans="8:15" x14ac:dyDescent="0.3">
      <c r="I78" t="s">
        <v>321</v>
      </c>
      <c r="J78" s="150" t="e">
        <f>DGcalcul!K107</f>
        <v>#N/A</v>
      </c>
      <c r="K78" s="150"/>
      <c r="L78" s="150" t="e">
        <f>'Single-use results'!CS63</f>
        <v>#N/A</v>
      </c>
      <c r="M78" s="11"/>
      <c r="N78" s="11"/>
      <c r="O78" s="11"/>
    </row>
    <row r="79" spans="8:15" x14ac:dyDescent="0.3">
      <c r="I79" t="s">
        <v>322</v>
      </c>
      <c r="J79" s="150" t="str">
        <f>DGcalcul!K108</f>
        <v>no impact, no calculation</v>
      </c>
      <c r="K79" s="150"/>
      <c r="L79" s="150" t="str">
        <f>'Single-use results'!CS64</f>
        <v>x</v>
      </c>
      <c r="M79" s="11"/>
      <c r="N79" s="11"/>
      <c r="O79" s="11"/>
    </row>
    <row r="80" spans="8:15" x14ac:dyDescent="0.3">
      <c r="I80" t="s">
        <v>339</v>
      </c>
      <c r="J80" s="150">
        <f>DGcalcul!K109</f>
        <v>4.190466265166667E-5</v>
      </c>
      <c r="K80" s="150"/>
      <c r="L80" s="150">
        <f>'Single-use results'!CS65</f>
        <v>7.8781703999999996E-6</v>
      </c>
      <c r="M80" s="11"/>
      <c r="N80" s="11"/>
      <c r="O80" s="11"/>
    </row>
    <row r="81" spans="8:15" x14ac:dyDescent="0.3">
      <c r="I81" t="s">
        <v>340</v>
      </c>
      <c r="J81" s="150">
        <f>DGcalcul!K110</f>
        <v>0.5</v>
      </c>
      <c r="K81" s="150"/>
      <c r="L81" s="150">
        <f>'Single-use results'!CS66</f>
        <v>0</v>
      </c>
      <c r="M81" s="11"/>
      <c r="N81" s="11"/>
      <c r="O81" s="11"/>
    </row>
    <row r="82" spans="8:15" x14ac:dyDescent="0.3">
      <c r="J82" s="150"/>
      <c r="K82" s="150"/>
      <c r="L82" s="150"/>
      <c r="M82" s="11"/>
      <c r="N82" s="11"/>
      <c r="O82" s="11"/>
    </row>
    <row r="83" spans="8:15" x14ac:dyDescent="0.3">
      <c r="J83" s="150"/>
      <c r="K83" s="150"/>
      <c r="L83" s="150"/>
      <c r="M83" s="11" t="s">
        <v>680</v>
      </c>
      <c r="N83" s="11" t="s">
        <v>681</v>
      </c>
      <c r="O83" s="11"/>
    </row>
    <row r="84" spans="8:15" x14ac:dyDescent="0.3">
      <c r="H84" t="s">
        <v>332</v>
      </c>
      <c r="I84" t="s">
        <v>678</v>
      </c>
      <c r="J84" s="150">
        <f>DGcalcul!K113</f>
        <v>5.6082269009091667E-3</v>
      </c>
      <c r="K84" s="150">
        <f>DGcalcul!L113</f>
        <v>0.11216453801818334</v>
      </c>
      <c r="L84" s="150">
        <f>'Single-use results'!CS69</f>
        <v>4.4012360880000004E-2</v>
      </c>
      <c r="M84" s="11" t="str">
        <f>IF(L84&lt;J84,"Single-use","Reusable")</f>
        <v>Reusable</v>
      </c>
      <c r="N84" s="398">
        <f>ROUND(K84/L84,0)</f>
        <v>3</v>
      </c>
      <c r="O84" s="11" t="s">
        <v>682</v>
      </c>
    </row>
    <row r="85" spans="8:15" x14ac:dyDescent="0.3">
      <c r="H85" t="s">
        <v>631</v>
      </c>
      <c r="I85" t="s">
        <v>13</v>
      </c>
      <c r="J85" s="150">
        <f>DGcalcul!K114</f>
        <v>7.4919064000000032E-3</v>
      </c>
      <c r="K85" s="150"/>
      <c r="L85" s="150">
        <f>'Single-use results'!CS70</f>
        <v>2.4680426200000001E-2</v>
      </c>
      <c r="M85" s="11"/>
      <c r="N85" s="11"/>
      <c r="O85" s="11"/>
    </row>
    <row r="86" spans="8:15" x14ac:dyDescent="0.3">
      <c r="I86" t="s">
        <v>306</v>
      </c>
      <c r="J86" s="150">
        <f>DGcalcul!K115</f>
        <v>3.0325560850000002E-5</v>
      </c>
      <c r="K86" s="150"/>
      <c r="L86" s="150">
        <f>'Single-use results'!CS71</f>
        <v>2.9464227999999998E-4</v>
      </c>
      <c r="M86" s="11"/>
      <c r="N86" s="11"/>
      <c r="O86" s="11"/>
    </row>
    <row r="87" spans="8:15" x14ac:dyDescent="0.3">
      <c r="I87" t="s">
        <v>312</v>
      </c>
      <c r="J87" s="150">
        <f>DGcalcul!K116</f>
        <v>1.535634804E-3</v>
      </c>
      <c r="K87" s="150"/>
      <c r="L87" s="150" t="str">
        <f>'Single-use results'!CS72</f>
        <v>x</v>
      </c>
      <c r="M87" s="11"/>
      <c r="N87" s="11"/>
      <c r="O87" s="11"/>
    </row>
    <row r="88" spans="8:15" x14ac:dyDescent="0.3">
      <c r="I88" t="s">
        <v>314</v>
      </c>
      <c r="J88" s="150">
        <f>DGcalcul!K117</f>
        <v>0</v>
      </c>
      <c r="K88" s="150"/>
      <c r="L88" s="150" t="str">
        <f>'Single-use results'!CS73</f>
        <v>x</v>
      </c>
      <c r="M88" s="11"/>
      <c r="N88" s="11"/>
      <c r="O88" s="11"/>
    </row>
    <row r="89" spans="8:15" x14ac:dyDescent="0.3">
      <c r="I89" t="s">
        <v>320</v>
      </c>
      <c r="J89" s="150" t="e">
        <f>DGcalcul!K118</f>
        <v>#N/A</v>
      </c>
      <c r="K89" s="150"/>
      <c r="L89" s="150" t="e">
        <f>'Single-use results'!CS74</f>
        <v>#N/A</v>
      </c>
      <c r="M89" s="11"/>
      <c r="N89" s="11"/>
      <c r="O89" s="11"/>
    </row>
    <row r="90" spans="8:15" x14ac:dyDescent="0.3">
      <c r="I90" t="s">
        <v>337</v>
      </c>
      <c r="J90" s="150" t="e">
        <f>DGcalcul!K119</f>
        <v>#N/A</v>
      </c>
      <c r="K90" s="150"/>
      <c r="L90" s="150">
        <f>'Single-use results'!CS75</f>
        <v>-8.693131600000001E-5</v>
      </c>
      <c r="M90" s="11"/>
      <c r="N90" s="11"/>
      <c r="O90" s="11"/>
    </row>
    <row r="91" spans="8:15" x14ac:dyDescent="0.3">
      <c r="I91" t="s">
        <v>321</v>
      </c>
      <c r="J91" s="150" t="e">
        <f>DGcalcul!K120</f>
        <v>#N/A</v>
      </c>
      <c r="K91" s="150"/>
      <c r="L91" s="150" t="e">
        <f>'Single-use results'!CS76</f>
        <v>#N/A</v>
      </c>
      <c r="M91" s="11"/>
      <c r="N91" s="11"/>
      <c r="O91" s="11"/>
    </row>
    <row r="92" spans="8:15" x14ac:dyDescent="0.3">
      <c r="I92" t="s">
        <v>322</v>
      </c>
      <c r="J92" s="150" t="str">
        <f>DGcalcul!K121</f>
        <v>no impact, no calculation</v>
      </c>
      <c r="K92" s="150"/>
      <c r="L92" s="150" t="str">
        <f>'Single-use results'!CS77</f>
        <v>x</v>
      </c>
      <c r="M92" s="11"/>
      <c r="N92" s="11"/>
      <c r="O92" s="11"/>
    </row>
    <row r="93" spans="8:15" x14ac:dyDescent="0.3">
      <c r="I93" t="s">
        <v>339</v>
      </c>
      <c r="J93" s="150">
        <f>DGcalcul!K122</f>
        <v>0.10310667125333334</v>
      </c>
      <c r="K93" s="150"/>
      <c r="L93" s="150">
        <f>'Single-use results'!CS78</f>
        <v>1.9037292400000003E-2</v>
      </c>
      <c r="M93" s="11"/>
      <c r="N93" s="11"/>
      <c r="O93" s="11"/>
    </row>
    <row r="94" spans="8:15" x14ac:dyDescent="0.3">
      <c r="I94" t="s">
        <v>340</v>
      </c>
      <c r="J94" s="150">
        <f>DGcalcul!K123</f>
        <v>0.5</v>
      </c>
      <c r="K94" s="150"/>
      <c r="L94" s="150">
        <f>'Single-use results'!CS79</f>
        <v>0</v>
      </c>
      <c r="M94" s="11"/>
      <c r="N94" s="11"/>
      <c r="O94" s="11"/>
    </row>
    <row r="95" spans="8:15" x14ac:dyDescent="0.3">
      <c r="J95" s="150"/>
      <c r="K95" s="150"/>
      <c r="L95" s="150"/>
      <c r="M95" s="11"/>
      <c r="N95" s="11"/>
      <c r="O95" s="11"/>
    </row>
    <row r="96" spans="8:15" x14ac:dyDescent="0.3">
      <c r="J96" s="150"/>
      <c r="K96" s="150"/>
      <c r="L96" s="150"/>
      <c r="M96" s="11" t="s">
        <v>680</v>
      </c>
      <c r="N96" s="11" t="s">
        <v>681</v>
      </c>
      <c r="O96" s="11"/>
    </row>
    <row r="97" spans="8:15" x14ac:dyDescent="0.3">
      <c r="H97" t="s">
        <v>333</v>
      </c>
      <c r="I97" t="s">
        <v>678</v>
      </c>
      <c r="J97" s="150">
        <f>DGcalcul!K126</f>
        <v>0.71268555705583325</v>
      </c>
      <c r="K97" s="150">
        <f>DGcalcul!L126</f>
        <v>14.253711141116666</v>
      </c>
      <c r="L97" s="150">
        <f>'Single-use results'!CS82</f>
        <v>3.5524644420000002</v>
      </c>
      <c r="M97" s="11" t="str">
        <f>IF(L97&lt;J97,"Single-use","Reusable")</f>
        <v>Reusable</v>
      </c>
      <c r="N97" s="398">
        <f>ROUND(K97/L97,0)</f>
        <v>4</v>
      </c>
      <c r="O97" s="11" t="s">
        <v>682</v>
      </c>
    </row>
    <row r="98" spans="8:15" x14ac:dyDescent="0.3">
      <c r="H98" t="s">
        <v>347</v>
      </c>
      <c r="I98" t="s">
        <v>13</v>
      </c>
      <c r="J98" s="150">
        <f>DGcalcul!K127</f>
        <v>0.37085702200000015</v>
      </c>
      <c r="K98" s="150"/>
      <c r="L98" s="150">
        <f>'Single-use results'!CS83</f>
        <v>1.9715469399999999</v>
      </c>
      <c r="M98" s="11"/>
      <c r="N98" s="11"/>
      <c r="O98" s="11"/>
    </row>
    <row r="99" spans="8:15" x14ac:dyDescent="0.3">
      <c r="I99" t="s">
        <v>306</v>
      </c>
      <c r="J99" s="150">
        <f>DGcalcul!K128</f>
        <v>0.71135861150000002</v>
      </c>
      <c r="K99" s="150"/>
      <c r="L99" s="150">
        <f>'Single-use results'!CS84</f>
        <v>7.0837401999999994E-2</v>
      </c>
      <c r="M99" s="11"/>
      <c r="N99" s="11"/>
      <c r="O99" s="11"/>
    </row>
    <row r="100" spans="8:15" x14ac:dyDescent="0.3">
      <c r="I100" t="s">
        <v>312</v>
      </c>
      <c r="J100" s="150">
        <f>DGcalcul!K129</f>
        <v>6.9192255000000005</v>
      </c>
      <c r="K100" s="150"/>
      <c r="L100" s="150" t="str">
        <f>'Single-use results'!CS85</f>
        <v>x</v>
      </c>
      <c r="M100" s="11"/>
      <c r="N100" s="11"/>
      <c r="O100" s="11"/>
    </row>
    <row r="101" spans="8:15" x14ac:dyDescent="0.3">
      <c r="I101" t="s">
        <v>314</v>
      </c>
      <c r="J101" s="150">
        <f>DGcalcul!K130</f>
        <v>0</v>
      </c>
      <c r="K101" s="150"/>
      <c r="L101" s="150" t="str">
        <f>'Single-use results'!CS86</f>
        <v>x</v>
      </c>
      <c r="M101" s="11"/>
      <c r="N101" s="11"/>
      <c r="O101" s="11"/>
    </row>
    <row r="102" spans="8:15" x14ac:dyDescent="0.3">
      <c r="I102" t="s">
        <v>320</v>
      </c>
      <c r="J102" s="150" t="e">
        <f>DGcalcul!K131</f>
        <v>#N/A</v>
      </c>
      <c r="K102" s="150"/>
      <c r="L102" s="150" t="e">
        <f>'Single-use results'!CS87</f>
        <v>#N/A</v>
      </c>
      <c r="M102" s="11"/>
      <c r="N102" s="11"/>
      <c r="O102" s="11"/>
    </row>
    <row r="103" spans="8:15" x14ac:dyDescent="0.3">
      <c r="I103" t="s">
        <v>337</v>
      </c>
      <c r="J103" s="150" t="e">
        <f>DGcalcul!K132</f>
        <v>#N/A</v>
      </c>
      <c r="K103" s="150"/>
      <c r="L103" s="150">
        <f>'Single-use results'!CS88</f>
        <v>-2.2347033999999998E-2</v>
      </c>
      <c r="M103" s="11"/>
      <c r="N103" s="11"/>
      <c r="O103" s="11"/>
    </row>
    <row r="104" spans="8:15" x14ac:dyDescent="0.3">
      <c r="I104" t="s">
        <v>321</v>
      </c>
      <c r="J104" s="150" t="e">
        <f>DGcalcul!K133</f>
        <v>#N/A</v>
      </c>
      <c r="K104" s="150"/>
      <c r="L104" s="150" t="e">
        <f>'Single-use results'!CS89</f>
        <v>#N/A</v>
      </c>
      <c r="M104" s="11"/>
      <c r="N104" s="11"/>
      <c r="O104" s="11"/>
    </row>
    <row r="105" spans="8:15" x14ac:dyDescent="0.3">
      <c r="I105" t="s">
        <v>322</v>
      </c>
      <c r="J105" s="150" t="str">
        <f>DGcalcul!K134</f>
        <v>no impact, no calculation</v>
      </c>
      <c r="K105" s="150"/>
      <c r="L105" s="150" t="str">
        <f>'Single-use results'!CS90</f>
        <v>x</v>
      </c>
      <c r="M105" s="11"/>
      <c r="N105" s="11"/>
      <c r="O105" s="11"/>
    </row>
    <row r="106" spans="8:15" x14ac:dyDescent="0.3">
      <c r="I106" t="s">
        <v>339</v>
      </c>
      <c r="J106" s="150">
        <f>DGcalcul!K135</f>
        <v>6.2522700076166657</v>
      </c>
      <c r="K106" s="150"/>
      <c r="L106" s="150">
        <f>'Single-use results'!CS91</f>
        <v>1.5100801000000001</v>
      </c>
      <c r="M106" s="11"/>
      <c r="N106" s="11"/>
      <c r="O106" s="11"/>
    </row>
    <row r="107" spans="8:15" x14ac:dyDescent="0.3">
      <c r="I107" t="s">
        <v>340</v>
      </c>
      <c r="J107" s="150">
        <f>DGcalcul!K136</f>
        <v>0.35547822696177744</v>
      </c>
      <c r="K107" s="150"/>
      <c r="L107" s="150">
        <f>'Single-use results'!CS92</f>
        <v>0</v>
      </c>
      <c r="M107" s="11"/>
      <c r="N107" s="11"/>
      <c r="O107" s="11"/>
    </row>
    <row r="108" spans="8:15" x14ac:dyDescent="0.3">
      <c r="J108" s="150"/>
      <c r="K108" s="150"/>
      <c r="L108" s="150"/>
      <c r="M108" s="11"/>
      <c r="N108" s="11"/>
      <c r="O108" s="11"/>
    </row>
    <row r="109" spans="8:15" x14ac:dyDescent="0.3">
      <c r="J109" s="150"/>
      <c r="K109" s="150"/>
      <c r="L109" s="150"/>
      <c r="M109" s="11" t="s">
        <v>680</v>
      </c>
      <c r="N109" s="11" t="s">
        <v>681</v>
      </c>
      <c r="O109" s="11"/>
    </row>
    <row r="110" spans="8:15" x14ac:dyDescent="0.3">
      <c r="H110" t="s">
        <v>334</v>
      </c>
      <c r="I110" t="s">
        <v>678</v>
      </c>
      <c r="J110" s="150">
        <f>DGcalcul!K139</f>
        <v>1.5230263669433333E-7</v>
      </c>
      <c r="K110" s="150">
        <f>DGcalcul!L139</f>
        <v>3.0460527338866668E-6</v>
      </c>
      <c r="L110" s="150">
        <f>'Single-use results'!CS95</f>
        <v>8.1351344509999996E-7</v>
      </c>
      <c r="M110" s="11" t="str">
        <f>IF(L110&lt;J110,"Single-use","Reusable")</f>
        <v>Reusable</v>
      </c>
      <c r="N110" s="398">
        <f>ROUND(K110/L110,0)</f>
        <v>4</v>
      </c>
      <c r="O110" s="11" t="s">
        <v>682</v>
      </c>
    </row>
    <row r="111" spans="8:15" x14ac:dyDescent="0.3">
      <c r="I111" t="s">
        <v>13</v>
      </c>
      <c r="J111" s="150">
        <f>DGcalcul!K140</f>
        <v>1.1687116800000007E-7</v>
      </c>
      <c r="K111" s="150"/>
      <c r="L111" s="150">
        <f>'Single-use results'!CS96</f>
        <v>5.2468585399999996E-7</v>
      </c>
      <c r="M111" s="11"/>
      <c r="N111" s="11"/>
      <c r="O111" s="11"/>
    </row>
    <row r="112" spans="8:15" x14ac:dyDescent="0.3">
      <c r="I112" t="s">
        <v>306</v>
      </c>
      <c r="J112" s="150">
        <f>DGcalcul!K141</f>
        <v>7.4058924900000012E-8</v>
      </c>
      <c r="K112" s="150"/>
      <c r="L112" s="150">
        <f>'Single-use results'!CS97</f>
        <v>7.7246911000000005E-9</v>
      </c>
      <c r="M112" s="11"/>
      <c r="N112" s="11"/>
      <c r="O112" s="11"/>
    </row>
    <row r="113" spans="9:15" x14ac:dyDescent="0.3">
      <c r="I113" t="s">
        <v>312</v>
      </c>
      <c r="J113" s="150">
        <f>DGcalcul!K142</f>
        <v>1.6583171880000002E-6</v>
      </c>
      <c r="K113" s="150"/>
      <c r="L113" s="150" t="str">
        <f>'Single-use results'!CS98</f>
        <v>x</v>
      </c>
      <c r="M113" s="11"/>
      <c r="N113" s="11"/>
      <c r="O113" s="11"/>
    </row>
    <row r="114" spans="9:15" x14ac:dyDescent="0.3">
      <c r="I114" t="s">
        <v>314</v>
      </c>
      <c r="J114" s="150">
        <f>DGcalcul!K143</f>
        <v>0</v>
      </c>
      <c r="K114" s="150"/>
      <c r="L114" s="150" t="str">
        <f>'Single-use results'!CS99</f>
        <v>x</v>
      </c>
      <c r="M114" s="11"/>
      <c r="N114" s="11"/>
      <c r="O114" s="11"/>
    </row>
    <row r="115" spans="9:15" x14ac:dyDescent="0.3">
      <c r="I115" t="s">
        <v>320</v>
      </c>
      <c r="J115" s="150" t="e">
        <f>DGcalcul!K144</f>
        <v>#N/A</v>
      </c>
      <c r="K115" s="150"/>
      <c r="L115" s="150" t="e">
        <f>'Single-use results'!CS100</f>
        <v>#N/A</v>
      </c>
      <c r="M115" s="11"/>
      <c r="N115" s="11"/>
      <c r="O115" s="11"/>
    </row>
    <row r="116" spans="9:15" x14ac:dyDescent="0.3">
      <c r="I116" t="s">
        <v>337</v>
      </c>
      <c r="J116" s="150" t="e">
        <f>DGcalcul!K145</f>
        <v>#N/A</v>
      </c>
      <c r="K116" s="150"/>
      <c r="L116" s="150">
        <f>'Single-use results'!CS101</f>
        <v>-1.0943601400000001E-10</v>
      </c>
      <c r="M116" s="11"/>
      <c r="N116" s="11"/>
      <c r="O116" s="11"/>
    </row>
    <row r="117" spans="9:15" x14ac:dyDescent="0.3">
      <c r="I117" t="s">
        <v>321</v>
      </c>
      <c r="J117" s="150" t="e">
        <f>DGcalcul!K146</f>
        <v>#N/A</v>
      </c>
      <c r="K117" s="150"/>
      <c r="L117" s="150" t="e">
        <f>'Single-use results'!CS102</f>
        <v>#N/A</v>
      </c>
      <c r="M117" s="11"/>
      <c r="N117" s="11"/>
      <c r="O117" s="11"/>
    </row>
    <row r="118" spans="9:15" x14ac:dyDescent="0.3">
      <c r="I118" t="s">
        <v>322</v>
      </c>
      <c r="J118" s="150" t="str">
        <f>DGcalcul!K147</f>
        <v>no impact, no calculation</v>
      </c>
      <c r="K118" s="150"/>
      <c r="L118" s="150" t="str">
        <f>'Single-use results'!CS103</f>
        <v>x</v>
      </c>
      <c r="M118" s="11"/>
      <c r="N118" s="11"/>
      <c r="O118" s="11"/>
    </row>
    <row r="119" spans="9:15" x14ac:dyDescent="0.3">
      <c r="I119" t="s">
        <v>339</v>
      </c>
      <c r="J119" s="150">
        <f>DGcalcul!K148</f>
        <v>1.1968054529866665E-6</v>
      </c>
      <c r="K119" s="150"/>
      <c r="L119" s="150">
        <f>'Single-use results'!CS104</f>
        <v>2.8110290000000003E-7</v>
      </c>
      <c r="M119" s="11"/>
      <c r="N119" s="11"/>
      <c r="O119" s="11"/>
    </row>
    <row r="120" spans="9:15" x14ac:dyDescent="0.3">
      <c r="I120" t="s">
        <v>340</v>
      </c>
      <c r="J120" s="150">
        <f>DGcalcul!K149</f>
        <v>0.5</v>
      </c>
      <c r="K120" s="150"/>
      <c r="L120" s="150">
        <f>'Single-use results'!CS105</f>
        <v>0</v>
      </c>
      <c r="M120" s="11"/>
      <c r="N120" s="11"/>
      <c r="O120" s="11"/>
    </row>
  </sheetData>
  <hyperlinks>
    <hyperlink ref="L4" r:id="rId1" display="https://www.papstar-shop.fr/panier-repas-carton-3-compartiments-600-ml-5-cm-x-14-8-cm-x-18-3-cm-marron-37039.htm?utm_source=google&amp;utm_medium=cpc&amp;utm_id=22525146233&amp;utm_campaign=Performance%20Max%20-%20mittlere%20Marge&amp;utm_adgroupid=&amp;utm_adgroupname=&amp;utm_accountid=140-151-1330&amp;utm_term=&amp;utm_network=x&amp;gad_source=5&amp;gad_campaignid=22518712539&amp;gclid=EAIaIQobChMIw6jByvyqjgMVAKODBx3kkzevEAQYASABEgKSNfD_BwE" xr:uid="{E0DC11A5-030A-414C-B3DF-49501AE8A684}"/>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6A0A2-48B3-42C6-BEC9-732DFD27F8B8}">
  <dimension ref="A1:Q28"/>
  <sheetViews>
    <sheetView workbookViewId="0">
      <selection activeCell="M24" sqref="M24"/>
    </sheetView>
  </sheetViews>
  <sheetFormatPr defaultColWidth="8.77734375" defaultRowHeight="14.4" x14ac:dyDescent="0.3"/>
  <cols>
    <col min="9" max="11" width="37.77734375" customWidth="1"/>
    <col min="13" max="13" width="16.77734375" customWidth="1"/>
  </cols>
  <sheetData>
    <row r="1" spans="1:16" x14ac:dyDescent="0.3">
      <c r="B1" t="s">
        <v>12</v>
      </c>
      <c r="C1" t="s">
        <v>13</v>
      </c>
      <c r="D1" t="s">
        <v>14</v>
      </c>
      <c r="E1" t="s">
        <v>15</v>
      </c>
      <c r="F1" t="s">
        <v>16</v>
      </c>
    </row>
    <row r="2" spans="1:16" ht="14.55" customHeight="1" x14ac:dyDescent="0.3">
      <c r="A2" t="s">
        <v>17</v>
      </c>
      <c r="B2" t="s">
        <v>18</v>
      </c>
      <c r="C2" t="s">
        <v>19</v>
      </c>
      <c r="E2" t="s">
        <v>19</v>
      </c>
      <c r="F2" t="s">
        <v>19</v>
      </c>
      <c r="H2" s="485" t="s">
        <v>637</v>
      </c>
      <c r="I2" s="485"/>
      <c r="J2" s="485"/>
      <c r="K2" s="485"/>
      <c r="L2" s="362"/>
      <c r="M2" s="362"/>
      <c r="N2" s="362"/>
      <c r="O2" s="362"/>
      <c r="P2" s="362"/>
    </row>
    <row r="3" spans="1:16" x14ac:dyDescent="0.3">
      <c r="A3" t="s">
        <v>20</v>
      </c>
      <c r="B3" t="s">
        <v>4</v>
      </c>
      <c r="C3" t="s">
        <v>21</v>
      </c>
      <c r="D3" t="s">
        <v>19</v>
      </c>
      <c r="E3" t="s">
        <v>21</v>
      </c>
      <c r="F3" t="s">
        <v>21</v>
      </c>
      <c r="H3" s="485"/>
      <c r="I3" s="485"/>
      <c r="J3" s="485"/>
      <c r="K3" s="485"/>
      <c r="L3" s="362"/>
      <c r="M3" s="362"/>
      <c r="N3" s="362"/>
      <c r="O3" s="362"/>
      <c r="P3" s="362"/>
    </row>
    <row r="4" spans="1:16" x14ac:dyDescent="0.3">
      <c r="B4" t="s">
        <v>22</v>
      </c>
      <c r="C4" t="s">
        <v>19</v>
      </c>
      <c r="D4" t="s">
        <v>19</v>
      </c>
      <c r="E4" t="s">
        <v>19</v>
      </c>
      <c r="H4" s="485"/>
      <c r="I4" s="485"/>
      <c r="J4" s="485"/>
      <c r="K4" s="485"/>
      <c r="L4" s="362"/>
      <c r="M4" s="362"/>
      <c r="N4" s="362"/>
      <c r="O4" s="362"/>
      <c r="P4" s="362"/>
    </row>
    <row r="5" spans="1:16" x14ac:dyDescent="0.3">
      <c r="B5" t="s">
        <v>26</v>
      </c>
      <c r="H5" s="485"/>
      <c r="I5" s="485"/>
      <c r="J5" s="485"/>
      <c r="K5" s="485"/>
      <c r="L5" s="362"/>
      <c r="M5" s="362"/>
      <c r="N5" s="362"/>
      <c r="O5" s="362"/>
      <c r="P5" s="362"/>
    </row>
    <row r="6" spans="1:16" ht="15" thickBot="1" x14ac:dyDescent="0.35">
      <c r="B6" t="s">
        <v>27</v>
      </c>
    </row>
    <row r="7" spans="1:16" ht="28.2" customHeight="1" x14ac:dyDescent="0.3">
      <c r="B7" t="s">
        <v>6</v>
      </c>
      <c r="C7" t="s">
        <v>19</v>
      </c>
      <c r="D7" t="s">
        <v>21</v>
      </c>
      <c r="E7" t="s">
        <v>19</v>
      </c>
      <c r="H7" s="488"/>
      <c r="I7" s="486" t="s">
        <v>638</v>
      </c>
      <c r="J7" s="486" t="s">
        <v>639</v>
      </c>
      <c r="K7" s="486" t="s">
        <v>640</v>
      </c>
    </row>
    <row r="8" spans="1:16" ht="15" thickBot="1" x14ac:dyDescent="0.35">
      <c r="B8" t="s">
        <v>28</v>
      </c>
      <c r="H8" s="489"/>
      <c r="I8" s="487"/>
      <c r="J8" s="487"/>
      <c r="K8" s="487"/>
    </row>
    <row r="9" spans="1:16" ht="43.2" customHeight="1" thickBot="1" x14ac:dyDescent="0.35">
      <c r="A9" s="5" t="s">
        <v>23</v>
      </c>
      <c r="B9" t="s">
        <v>24</v>
      </c>
      <c r="C9" t="s">
        <v>19</v>
      </c>
      <c r="D9" t="s">
        <v>19</v>
      </c>
      <c r="E9" t="s">
        <v>19</v>
      </c>
      <c r="F9" t="s">
        <v>19</v>
      </c>
      <c r="H9" s="364">
        <v>2</v>
      </c>
      <c r="I9" s="363" t="s">
        <v>641</v>
      </c>
      <c r="J9" s="363" t="s">
        <v>642</v>
      </c>
      <c r="K9" s="363" t="s">
        <v>643</v>
      </c>
      <c r="L9" s="364">
        <v>2</v>
      </c>
    </row>
    <row r="10" spans="1:16" ht="53.55" customHeight="1" x14ac:dyDescent="0.3">
      <c r="B10" t="s">
        <v>25</v>
      </c>
      <c r="H10" s="365">
        <v>0</v>
      </c>
      <c r="I10" s="363" t="s">
        <v>644</v>
      </c>
      <c r="J10" s="363" t="s">
        <v>645</v>
      </c>
      <c r="K10" s="363" t="s">
        <v>646</v>
      </c>
      <c r="L10" s="365">
        <v>0</v>
      </c>
    </row>
    <row r="11" spans="1:16" ht="82.8" customHeight="1" thickBot="1" x14ac:dyDescent="0.35">
      <c r="B11" t="s">
        <v>29</v>
      </c>
      <c r="H11" s="366">
        <v>-2</v>
      </c>
      <c r="I11" s="360" t="s">
        <v>647</v>
      </c>
      <c r="J11" s="361" t="s">
        <v>648</v>
      </c>
      <c r="K11" s="361" t="s">
        <v>649</v>
      </c>
      <c r="L11" s="366">
        <v>-2</v>
      </c>
    </row>
    <row r="12" spans="1:16" x14ac:dyDescent="0.3">
      <c r="B12" t="s">
        <v>30</v>
      </c>
    </row>
    <row r="13" spans="1:16" ht="84" customHeight="1" thickBot="1" x14ac:dyDescent="0.35">
      <c r="B13" t="s">
        <v>31</v>
      </c>
    </row>
    <row r="14" spans="1:16" x14ac:dyDescent="0.3">
      <c r="B14" t="s">
        <v>32</v>
      </c>
      <c r="I14" s="486" t="s">
        <v>638</v>
      </c>
      <c r="J14" s="486" t="s">
        <v>639</v>
      </c>
      <c r="K14" s="486" t="s">
        <v>640</v>
      </c>
      <c r="M14" t="s">
        <v>102</v>
      </c>
      <c r="N14">
        <f>SUM(I19:K19)</f>
        <v>-6</v>
      </c>
    </row>
    <row r="15" spans="1:16" ht="15" thickBot="1" x14ac:dyDescent="0.35">
      <c r="B15" t="s">
        <v>33</v>
      </c>
      <c r="I15" s="487"/>
      <c r="J15" s="487"/>
      <c r="K15" s="487"/>
      <c r="M15" t="s">
        <v>50</v>
      </c>
      <c r="N15">
        <f>SUM(I16:K16)</f>
        <v>-6</v>
      </c>
    </row>
    <row r="16" spans="1:16" x14ac:dyDescent="0.3">
      <c r="B16" t="s">
        <v>34</v>
      </c>
      <c r="H16" t="s">
        <v>651</v>
      </c>
      <c r="I16">
        <f>VLOOKUP('Input - Sustainable Development'!C19,'Sus Dev - Social'!I$9:L$11,4,FALSE)</f>
        <v>-2</v>
      </c>
      <c r="J16">
        <f>VLOOKUP('Input - Sustainable Development'!C20,'Sus Dev - Social'!J$9:L$11,3,FALSE)</f>
        <v>-2</v>
      </c>
      <c r="K16">
        <f>VLOOKUP('Input - Sustainable Development'!C21,'Sus Dev - Social'!K$9:L$11,2,FALSE)</f>
        <v>-2</v>
      </c>
      <c r="M16" t="s">
        <v>660</v>
      </c>
      <c r="N16">
        <f>SUM(I17:K17)</f>
        <v>-6</v>
      </c>
    </row>
    <row r="17" spans="2:17" x14ac:dyDescent="0.3">
      <c r="B17" t="s">
        <v>35</v>
      </c>
      <c r="H17" t="s">
        <v>654</v>
      </c>
      <c r="I17">
        <f>VLOOKUP('Input - Sustainable Development'!C23,'Sus Dev - Social'!I$9:L$11,4,FALSE)</f>
        <v>-2</v>
      </c>
      <c r="J17">
        <f>VLOOKUP('Input - Sustainable Development'!C24,'Sus Dev - Social'!J$9:L$11,3,FALSE)</f>
        <v>-2</v>
      </c>
      <c r="K17">
        <f>VLOOKUP('Input - Sustainable Development'!C25,'Sus Dev - Social'!K$9:L$11,2,FALSE)</f>
        <v>-2</v>
      </c>
      <c r="M17" t="s">
        <v>661</v>
      </c>
      <c r="N17">
        <f>SUM(I18:K18)</f>
        <v>-6</v>
      </c>
    </row>
    <row r="18" spans="2:17" x14ac:dyDescent="0.3">
      <c r="B18" t="s">
        <v>36</v>
      </c>
      <c r="H18" t="s">
        <v>652</v>
      </c>
      <c r="I18">
        <f>VLOOKUP('Input - Sustainable Development'!C27,'Sus Dev - Social'!I$9:L$11,4,FALSE)</f>
        <v>-2</v>
      </c>
      <c r="J18">
        <f>VLOOKUP('Input - Sustainable Development'!C28,'Sus Dev - Social'!J$9:L$11,3,FALSE)</f>
        <v>-2</v>
      </c>
      <c r="K18">
        <f>VLOOKUP('Input - Sustainable Development'!C29,'Sus Dev - Social'!K$9:L$11,2,FALSE)</f>
        <v>-2</v>
      </c>
      <c r="M18" t="s">
        <v>662</v>
      </c>
      <c r="N18" s="367">
        <v>2</v>
      </c>
    </row>
    <row r="19" spans="2:17" x14ac:dyDescent="0.3">
      <c r="B19" s="5" t="s">
        <v>10</v>
      </c>
      <c r="C19" s="5" t="s">
        <v>19</v>
      </c>
      <c r="D19" s="5" t="s">
        <v>19</v>
      </c>
      <c r="E19" s="5" t="s">
        <v>19</v>
      </c>
      <c r="F19" s="5" t="s">
        <v>19</v>
      </c>
      <c r="H19" t="s">
        <v>653</v>
      </c>
      <c r="I19">
        <f>VLOOKUP('Input - Sustainable Development'!C31,'Sus Dev - Social'!I$9:L$11,4,FALSE)</f>
        <v>-2</v>
      </c>
      <c r="J19">
        <f>VLOOKUP('Input - Sustainable Development'!C32,'Sus Dev - Social'!J$9:L$11,3,FALSE)</f>
        <v>-2</v>
      </c>
      <c r="K19">
        <f>VLOOKUP('Input - Sustainable Development'!C33,'Sus Dev - Social'!K$9:L$11,2,FALSE)</f>
        <v>-2</v>
      </c>
      <c r="O19" t="s">
        <v>667</v>
      </c>
      <c r="P19" t="s">
        <v>668</v>
      </c>
      <c r="Q19" t="s">
        <v>669</v>
      </c>
    </row>
    <row r="20" spans="2:17" x14ac:dyDescent="0.3">
      <c r="B20" s="5" t="s">
        <v>37</v>
      </c>
      <c r="C20" s="5"/>
      <c r="D20" s="5"/>
      <c r="E20" s="5"/>
      <c r="F20" s="5"/>
      <c r="M20" t="s">
        <v>665</v>
      </c>
      <c r="N20">
        <f>N15+N16+N17</f>
        <v>-18</v>
      </c>
      <c r="O20">
        <f>6+6+6</f>
        <v>18</v>
      </c>
      <c r="P20">
        <f>-6-6-6</f>
        <v>-18</v>
      </c>
      <c r="Q20">
        <f>N20</f>
        <v>-18</v>
      </c>
    </row>
    <row r="21" spans="2:17" x14ac:dyDescent="0.3">
      <c r="B21" t="s">
        <v>9</v>
      </c>
      <c r="C21" t="s">
        <v>19</v>
      </c>
      <c r="D21" t="s">
        <v>19</v>
      </c>
      <c r="E21" t="s">
        <v>19</v>
      </c>
      <c r="F21" t="s">
        <v>19</v>
      </c>
      <c r="M21" t="s">
        <v>666</v>
      </c>
      <c r="N21">
        <f>((N15+N16+N17)/(N18-1))+N14</f>
        <v>-24</v>
      </c>
      <c r="O21">
        <v>24</v>
      </c>
      <c r="P21">
        <v>-24</v>
      </c>
      <c r="Q21">
        <f>N21*(O20/O21)</f>
        <v>-18</v>
      </c>
    </row>
    <row r="22" spans="2:17" x14ac:dyDescent="0.3">
      <c r="B22" t="s">
        <v>37</v>
      </c>
      <c r="I22" s="1" t="s">
        <v>655</v>
      </c>
      <c r="M22" s="11" t="s">
        <v>664</v>
      </c>
      <c r="N22" s="11" t="str">
        <f>IF(Q21&lt;Q20,"Single use","Reusable")</f>
        <v>Reusable</v>
      </c>
    </row>
    <row r="23" spans="2:17" x14ac:dyDescent="0.3">
      <c r="I23" s="1" t="s">
        <v>656</v>
      </c>
    </row>
    <row r="24" spans="2:17" x14ac:dyDescent="0.3">
      <c r="I24" s="1"/>
      <c r="M24" t="s">
        <v>663</v>
      </c>
      <c r="N24">
        <f>((N18-1)/N18)*(N15+N16+N17)</f>
        <v>-9</v>
      </c>
      <c r="O24" t="s">
        <v>670</v>
      </c>
    </row>
    <row r="25" spans="2:17" ht="28.8" x14ac:dyDescent="0.3">
      <c r="I25" s="1" t="s">
        <v>657</v>
      </c>
    </row>
    <row r="26" spans="2:17" x14ac:dyDescent="0.3">
      <c r="I26" s="1"/>
      <c r="M26" t="s">
        <v>671</v>
      </c>
      <c r="N26">
        <f>(N15+N16+N17)</f>
        <v>-18</v>
      </c>
      <c r="O26" t="s">
        <v>672</v>
      </c>
    </row>
    <row r="27" spans="2:17" ht="43.2" x14ac:dyDescent="0.3">
      <c r="I27" s="1" t="s">
        <v>658</v>
      </c>
      <c r="M27" s="7" t="s">
        <v>677</v>
      </c>
      <c r="N27" s="11">
        <f>(N20-N14)/(N15+N16+N17+0.0000001)</f>
        <v>0.66666667037037042</v>
      </c>
      <c r="O27" s="11" t="s">
        <v>673</v>
      </c>
    </row>
    <row r="28" spans="2:17" ht="43.2" x14ac:dyDescent="0.3">
      <c r="I28" s="1" t="s">
        <v>659</v>
      </c>
    </row>
  </sheetData>
  <mergeCells count="8">
    <mergeCell ref="H2:K5"/>
    <mergeCell ref="I14:I15"/>
    <mergeCell ref="J14:J15"/>
    <mergeCell ref="K14:K15"/>
    <mergeCell ref="H7:H8"/>
    <mergeCell ref="I7:I8"/>
    <mergeCell ref="J7:J8"/>
    <mergeCell ref="K7:K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98FA0-1F90-4B07-8CC9-21B8289445AE}">
  <dimension ref="A1:R25"/>
  <sheetViews>
    <sheetView workbookViewId="0">
      <selection activeCell="M24" sqref="M24"/>
    </sheetView>
  </sheetViews>
  <sheetFormatPr defaultColWidth="8.77734375" defaultRowHeight="14.4" x14ac:dyDescent="0.3"/>
  <sheetData>
    <row r="1" spans="1:18" x14ac:dyDescent="0.3">
      <c r="B1" t="s">
        <v>12</v>
      </c>
      <c r="C1" t="s">
        <v>13</v>
      </c>
      <c r="D1" t="s">
        <v>14</v>
      </c>
      <c r="E1" t="s">
        <v>15</v>
      </c>
      <c r="F1" t="s">
        <v>16</v>
      </c>
    </row>
    <row r="2" spans="1:18" ht="14.55" customHeight="1" x14ac:dyDescent="0.3">
      <c r="A2" t="s">
        <v>17</v>
      </c>
      <c r="B2" t="s">
        <v>18</v>
      </c>
      <c r="C2" t="s">
        <v>19</v>
      </c>
      <c r="E2" t="s">
        <v>19</v>
      </c>
      <c r="F2" t="s">
        <v>19</v>
      </c>
      <c r="H2" s="474" t="s">
        <v>801</v>
      </c>
      <c r="I2" s="474"/>
      <c r="J2" s="474"/>
      <c r="K2" s="474"/>
      <c r="L2" s="474"/>
      <c r="M2" s="474"/>
      <c r="N2" s="474"/>
      <c r="O2" s="474"/>
    </row>
    <row r="3" spans="1:18" x14ac:dyDescent="0.3">
      <c r="A3" t="s">
        <v>20</v>
      </c>
      <c r="B3" t="s">
        <v>4</v>
      </c>
      <c r="C3" t="s">
        <v>21</v>
      </c>
      <c r="D3" t="s">
        <v>19</v>
      </c>
      <c r="E3" t="s">
        <v>21</v>
      </c>
      <c r="F3" t="s">
        <v>21</v>
      </c>
      <c r="H3" s="474"/>
      <c r="I3" s="474"/>
      <c r="J3" s="474"/>
      <c r="K3" s="474"/>
      <c r="L3" s="474"/>
      <c r="M3" s="474"/>
      <c r="N3" s="474"/>
      <c r="O3" s="474"/>
    </row>
    <row r="4" spans="1:18" x14ac:dyDescent="0.3">
      <c r="B4" t="s">
        <v>22</v>
      </c>
      <c r="C4" t="s">
        <v>19</v>
      </c>
      <c r="D4" t="s">
        <v>19</v>
      </c>
      <c r="E4" t="s">
        <v>19</v>
      </c>
      <c r="H4" s="474"/>
      <c r="I4" s="474"/>
      <c r="J4" s="474"/>
      <c r="K4" s="474"/>
      <c r="L4" s="474"/>
      <c r="M4" s="474"/>
      <c r="N4" s="474"/>
      <c r="O4" s="474"/>
    </row>
    <row r="5" spans="1:18" x14ac:dyDescent="0.3">
      <c r="B5" t="s">
        <v>26</v>
      </c>
      <c r="H5" s="474"/>
      <c r="I5" s="474"/>
      <c r="J5" s="474"/>
      <c r="K5" s="474"/>
      <c r="L5" s="474"/>
      <c r="M5" s="474"/>
      <c r="N5" s="474"/>
      <c r="O5" s="474"/>
    </row>
    <row r="6" spans="1:18" x14ac:dyDescent="0.3">
      <c r="B6" t="s">
        <v>27</v>
      </c>
      <c r="H6" s="474"/>
      <c r="I6" s="474"/>
      <c r="J6" s="474"/>
      <c r="K6" s="474"/>
      <c r="L6" s="474"/>
      <c r="M6" s="474"/>
      <c r="N6" s="474"/>
      <c r="O6" s="474"/>
    </row>
    <row r="7" spans="1:18" x14ac:dyDescent="0.3">
      <c r="B7" t="s">
        <v>6</v>
      </c>
      <c r="C7" t="s">
        <v>19</v>
      </c>
      <c r="D7" t="s">
        <v>21</v>
      </c>
      <c r="E7" t="s">
        <v>19</v>
      </c>
      <c r="H7" s="474"/>
      <c r="I7" s="474"/>
      <c r="J7" s="474"/>
      <c r="K7" s="474"/>
      <c r="L7" s="474"/>
      <c r="M7" s="474"/>
      <c r="N7" s="474"/>
      <c r="O7" s="474"/>
    </row>
    <row r="8" spans="1:18" x14ac:dyDescent="0.3">
      <c r="B8" t="s">
        <v>28</v>
      </c>
      <c r="H8" s="474"/>
      <c r="I8" s="474"/>
      <c r="J8" s="474"/>
      <c r="K8" s="474"/>
      <c r="L8" s="474"/>
      <c r="M8" s="474"/>
      <c r="N8" s="474"/>
      <c r="O8" s="474"/>
    </row>
    <row r="9" spans="1:18" x14ac:dyDescent="0.3">
      <c r="A9" s="5" t="s">
        <v>23</v>
      </c>
      <c r="B9" t="s">
        <v>24</v>
      </c>
      <c r="C9" t="s">
        <v>19</v>
      </c>
      <c r="D9" t="s">
        <v>19</v>
      </c>
      <c r="E9" t="s">
        <v>19</v>
      </c>
      <c r="F9" t="s">
        <v>19</v>
      </c>
      <c r="H9" s="474"/>
      <c r="I9" s="474"/>
      <c r="J9" s="474"/>
      <c r="K9" s="474"/>
      <c r="L9" s="474"/>
      <c r="M9" s="474"/>
      <c r="N9" s="474"/>
      <c r="O9" s="474"/>
    </row>
    <row r="10" spans="1:18" x14ac:dyDescent="0.3">
      <c r="B10" t="s">
        <v>25</v>
      </c>
      <c r="H10" s="474"/>
      <c r="I10" s="474"/>
      <c r="J10" s="474"/>
      <c r="K10" s="474"/>
      <c r="L10" s="474"/>
      <c r="M10" s="474"/>
      <c r="N10" s="474"/>
      <c r="O10" s="474"/>
    </row>
    <row r="11" spans="1:18" x14ac:dyDescent="0.3">
      <c r="B11" t="s">
        <v>29</v>
      </c>
      <c r="H11" s="474"/>
      <c r="I11" s="474"/>
      <c r="J11" s="474"/>
      <c r="K11" s="474"/>
      <c r="L11" s="474"/>
      <c r="M11" s="474"/>
      <c r="N11" s="474"/>
      <c r="O11" s="474"/>
    </row>
    <row r="12" spans="1:18" x14ac:dyDescent="0.3">
      <c r="B12" t="s">
        <v>30</v>
      </c>
      <c r="H12" s="474"/>
      <c r="I12" s="474"/>
      <c r="J12" s="474"/>
      <c r="K12" s="474"/>
      <c r="L12" s="474"/>
      <c r="M12" s="474"/>
      <c r="N12" s="474"/>
      <c r="O12" s="474"/>
    </row>
    <row r="13" spans="1:18" x14ac:dyDescent="0.3">
      <c r="B13" t="s">
        <v>31</v>
      </c>
      <c r="H13" s="474"/>
      <c r="I13" s="474"/>
      <c r="J13" s="474"/>
      <c r="K13" s="474"/>
      <c r="L13" s="474"/>
      <c r="M13" s="474"/>
      <c r="N13" s="474"/>
      <c r="O13" s="474"/>
    </row>
    <row r="14" spans="1:18" x14ac:dyDescent="0.3">
      <c r="B14" t="s">
        <v>32</v>
      </c>
      <c r="Q14" s="340" t="s">
        <v>604</v>
      </c>
      <c r="R14" t="s">
        <v>699</v>
      </c>
    </row>
    <row r="15" spans="1:18" x14ac:dyDescent="0.3">
      <c r="B15" t="s">
        <v>33</v>
      </c>
      <c r="H15" t="s">
        <v>697</v>
      </c>
      <c r="J15" s="6">
        <f>'Input - Sustainable Development'!C13</f>
        <v>0.5</v>
      </c>
      <c r="K15" t="s">
        <v>706</v>
      </c>
      <c r="Q15" s="346" t="s">
        <v>605</v>
      </c>
      <c r="R15" t="s">
        <v>700</v>
      </c>
    </row>
    <row r="16" spans="1:18" x14ac:dyDescent="0.3">
      <c r="B16" t="s">
        <v>34</v>
      </c>
      <c r="H16" t="s">
        <v>693</v>
      </c>
      <c r="J16" s="6">
        <f>'Input - Sustainable Development'!C12</f>
        <v>5</v>
      </c>
      <c r="K16" t="s">
        <v>706</v>
      </c>
      <c r="Q16" s="346" t="s">
        <v>606</v>
      </c>
      <c r="R16" t="s">
        <v>699</v>
      </c>
    </row>
    <row r="17" spans="2:18" x14ac:dyDescent="0.3">
      <c r="B17" t="s">
        <v>35</v>
      </c>
      <c r="H17" t="s">
        <v>662</v>
      </c>
      <c r="J17" s="403">
        <f>DGcalcul!E14</f>
        <v>20</v>
      </c>
      <c r="K17" t="s">
        <v>701</v>
      </c>
      <c r="Q17" s="346" t="s">
        <v>607</v>
      </c>
      <c r="R17" t="s">
        <v>699</v>
      </c>
    </row>
    <row r="18" spans="2:18" x14ac:dyDescent="0.3">
      <c r="B18" t="s">
        <v>36</v>
      </c>
      <c r="H18" t="s">
        <v>698</v>
      </c>
      <c r="I18" t="str">
        <f>VLOOKUP('Input - Life Cycle Information'!C14,'Sus Dev - Economic'!Q14:R18,2,FALSE)</f>
        <v>Bowl</v>
      </c>
      <c r="J18" s="6">
        <f>IF(I18="Bowl",0.1,0.05)</f>
        <v>0.1</v>
      </c>
      <c r="K18" t="s">
        <v>706</v>
      </c>
      <c r="Q18" s="340" t="s">
        <v>608</v>
      </c>
      <c r="R18" t="s">
        <v>699</v>
      </c>
    </row>
    <row r="19" spans="2:18" x14ac:dyDescent="0.3">
      <c r="B19" t="s">
        <v>10</v>
      </c>
      <c r="C19" t="s">
        <v>19</v>
      </c>
      <c r="D19" t="s">
        <v>19</v>
      </c>
      <c r="E19" t="s">
        <v>19</v>
      </c>
      <c r="F19" t="s">
        <v>19</v>
      </c>
    </row>
    <row r="20" spans="2:18" x14ac:dyDescent="0.3">
      <c r="B20" t="s">
        <v>37</v>
      </c>
      <c r="H20" t="s">
        <v>702</v>
      </c>
      <c r="J20">
        <f>J15</f>
        <v>0.5</v>
      </c>
      <c r="K20" t="s">
        <v>705</v>
      </c>
    </row>
    <row r="21" spans="2:18" x14ac:dyDescent="0.3">
      <c r="B21" s="5" t="s">
        <v>9</v>
      </c>
      <c r="C21" s="5" t="s">
        <v>19</v>
      </c>
      <c r="D21" s="5" t="s">
        <v>19</v>
      </c>
      <c r="E21" s="5" t="s">
        <v>19</v>
      </c>
      <c r="F21" s="5" t="s">
        <v>19</v>
      </c>
      <c r="H21" s="5" t="s">
        <v>703</v>
      </c>
      <c r="J21">
        <f>(J16/J17)+J18</f>
        <v>0.35</v>
      </c>
      <c r="K21" t="s">
        <v>704</v>
      </c>
    </row>
    <row r="22" spans="2:18" x14ac:dyDescent="0.3">
      <c r="B22" s="5" t="s">
        <v>37</v>
      </c>
      <c r="C22" s="5"/>
      <c r="D22" s="5"/>
      <c r="E22" s="5"/>
      <c r="F22" s="5"/>
    </row>
    <row r="23" spans="2:18" x14ac:dyDescent="0.3">
      <c r="H23" t="s">
        <v>681</v>
      </c>
      <c r="J23" s="11">
        <f>J16/(J15-J18)</f>
        <v>12.5</v>
      </c>
    </row>
    <row r="25" spans="2:18" x14ac:dyDescent="0.3">
      <c r="H25" t="s">
        <v>708</v>
      </c>
      <c r="J25" t="str">
        <f>IF(J21&lt;J20,"Reusable","Single use")</f>
        <v>Reusable</v>
      </c>
    </row>
  </sheetData>
  <mergeCells count="1">
    <mergeCell ref="H2:O1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E8A6E-02B0-4044-B307-FA0C01C72454}">
  <sheetPr>
    <tabColor theme="9"/>
  </sheetPr>
  <dimension ref="A1:AC255"/>
  <sheetViews>
    <sheetView topLeftCell="A56" zoomScale="60" zoomScaleNormal="60" workbookViewId="0">
      <selection activeCell="E83" sqref="E83"/>
    </sheetView>
  </sheetViews>
  <sheetFormatPr defaultColWidth="11.44140625" defaultRowHeight="14.4" outlineLevelRow="1" x14ac:dyDescent="0.3"/>
  <cols>
    <col min="1" max="1" width="5.6640625" customWidth="1"/>
    <col min="2" max="2" width="33.44140625" customWidth="1"/>
    <col min="3" max="3" width="16.44140625" customWidth="1"/>
    <col min="4" max="10" width="30.6640625" customWidth="1"/>
    <col min="11" max="11" width="30.6640625" style="2" customWidth="1"/>
    <col min="12" max="12" width="11.44140625" customWidth="1"/>
    <col min="13" max="13" width="5.6640625" customWidth="1"/>
    <col min="14" max="14" width="5.33203125" customWidth="1"/>
    <col min="15" max="15" width="55.44140625" bestFit="1" customWidth="1"/>
    <col min="16" max="16" width="11.44140625" style="2"/>
  </cols>
  <sheetData>
    <row r="1" spans="1:21" s="16" customFormat="1" ht="40.049999999999997" customHeight="1" x14ac:dyDescent="0.3">
      <c r="A1" s="505" t="s">
        <v>294</v>
      </c>
      <c r="B1" s="505"/>
      <c r="C1" s="505"/>
      <c r="D1" s="505"/>
      <c r="E1" s="505"/>
      <c r="F1" s="505"/>
      <c r="G1" s="505"/>
      <c r="H1" s="505"/>
      <c r="I1" s="505"/>
      <c r="J1" s="505"/>
      <c r="K1" s="505"/>
      <c r="L1" s="505"/>
      <c r="M1" s="505"/>
      <c r="N1" s="14"/>
      <c r="O1" s="14"/>
      <c r="P1" s="15"/>
      <c r="Q1" s="14"/>
      <c r="R1" s="14"/>
      <c r="S1" s="14"/>
      <c r="T1" s="14"/>
    </row>
    <row r="2" spans="1:21" ht="12" customHeight="1" x14ac:dyDescent="0.3">
      <c r="A2" s="17"/>
      <c r="B2" s="17"/>
      <c r="C2" s="17"/>
      <c r="D2" s="18"/>
      <c r="E2" s="18"/>
      <c r="F2" s="18"/>
      <c r="G2" s="18"/>
      <c r="H2" s="18"/>
      <c r="I2" s="18"/>
      <c r="J2" s="18"/>
      <c r="K2" s="19"/>
      <c r="L2" s="18"/>
      <c r="M2" s="18"/>
      <c r="N2" s="20"/>
      <c r="O2" s="20"/>
      <c r="P2" s="21"/>
      <c r="Q2" s="20"/>
      <c r="R2" s="20"/>
      <c r="S2" s="20"/>
      <c r="T2" s="20"/>
    </row>
    <row r="3" spans="1:21" ht="24" customHeight="1" x14ac:dyDescent="0.3">
      <c r="A3" s="17"/>
      <c r="B3" s="17"/>
      <c r="C3" s="17"/>
      <c r="D3" s="22" t="s">
        <v>295</v>
      </c>
      <c r="E3" s="444">
        <f>'Input - Life Cycle Information'!C20</f>
        <v>0.66</v>
      </c>
      <c r="F3" s="22" t="s">
        <v>296</v>
      </c>
      <c r="G3" s="23" t="str" cm="1">
        <f t="array" ref="G3:H3">'Input - Life Cycle Information'!C11:D11</f>
        <v>Irland</v>
      </c>
      <c r="H3" s="18">
        <v>0</v>
      </c>
      <c r="I3" s="18"/>
      <c r="J3" s="18"/>
      <c r="K3" s="19"/>
      <c r="L3" s="18"/>
      <c r="M3" s="18"/>
      <c r="N3" s="20"/>
      <c r="O3" s="20"/>
      <c r="P3" s="21"/>
      <c r="Q3" s="20"/>
      <c r="R3" s="20"/>
      <c r="S3" s="20"/>
      <c r="T3" s="20"/>
    </row>
    <row r="4" spans="1:21" ht="12" customHeight="1" x14ac:dyDescent="0.3">
      <c r="A4" s="17"/>
      <c r="B4" s="17"/>
      <c r="C4" s="17"/>
      <c r="D4" s="18"/>
      <c r="E4" s="18"/>
      <c r="F4" s="18"/>
      <c r="G4" s="18"/>
      <c r="H4" s="18"/>
      <c r="I4" s="18"/>
      <c r="J4" s="18"/>
      <c r="K4" s="19"/>
      <c r="L4" s="18"/>
      <c r="M4" s="18"/>
      <c r="N4" s="20"/>
      <c r="O4" s="20"/>
      <c r="P4" s="21"/>
      <c r="Q4" s="20"/>
      <c r="R4" s="20"/>
      <c r="S4" s="20"/>
      <c r="T4" s="20"/>
    </row>
    <row r="5" spans="1:21" ht="24" customHeight="1" x14ac:dyDescent="0.3">
      <c r="A5" s="17"/>
      <c r="B5" s="17"/>
      <c r="C5" s="17"/>
      <c r="D5" s="24"/>
      <c r="E5" s="25" t="s">
        <v>298</v>
      </c>
      <c r="F5" s="18"/>
      <c r="G5" s="25" t="s">
        <v>299</v>
      </c>
      <c r="H5" s="18"/>
      <c r="I5" s="25" t="s">
        <v>300</v>
      </c>
      <c r="J5" s="18"/>
      <c r="K5" s="509" t="s">
        <v>301</v>
      </c>
      <c r="L5" s="509"/>
      <c r="M5" s="18"/>
      <c r="N5" s="20"/>
      <c r="O5" s="20"/>
      <c r="P5" s="21"/>
      <c r="Q5" s="20"/>
      <c r="R5" s="20"/>
      <c r="S5" s="20"/>
      <c r="T5" s="20"/>
    </row>
    <row r="6" spans="1:21" ht="24" customHeight="1" x14ac:dyDescent="0.3">
      <c r="A6" s="17"/>
      <c r="B6" s="17"/>
      <c r="C6" s="17"/>
      <c r="D6" s="26" t="s">
        <v>13</v>
      </c>
      <c r="E6" s="23" t="str">
        <f>'Input - Life Cycle Information'!C24</f>
        <v>Tritan TX1001 production {USA}</v>
      </c>
      <c r="F6" s="19"/>
      <c r="G6" s="23" t="str">
        <f>'Input - Life Cycle Information'!E24</f>
        <v>LDPE</v>
      </c>
      <c r="H6" s="19"/>
      <c r="I6" s="23" t="str">
        <f>'Input - Life Cycle Information'!F24</f>
        <v>PET</v>
      </c>
      <c r="J6" s="18"/>
      <c r="K6" s="27">
        <f>E7/SUM($E$7,$G$7,$I$7)</f>
        <v>0.95</v>
      </c>
      <c r="L6" s="28" t="str">
        <f>CONCATENATE("of ",E6)</f>
        <v>of Tritan TX1001 production {USA}</v>
      </c>
      <c r="M6" s="18"/>
      <c r="N6" s="20"/>
      <c r="O6" s="20"/>
      <c r="P6" s="21"/>
      <c r="Q6" s="20"/>
      <c r="R6" s="20"/>
      <c r="S6" s="20"/>
      <c r="T6" s="20"/>
    </row>
    <row r="7" spans="1:21" ht="24" customHeight="1" x14ac:dyDescent="0.3">
      <c r="A7" s="17"/>
      <c r="B7" s="17"/>
      <c r="C7" s="17"/>
      <c r="D7" s="26" t="s">
        <v>304</v>
      </c>
      <c r="E7" s="23">
        <f>'Input - Life Cycle Information'!C27/1000</f>
        <v>9.5000000000000001E-2</v>
      </c>
      <c r="F7" s="19"/>
      <c r="G7" s="23">
        <f>'Input - Life Cycle Information'!E27/1000</f>
        <v>3.0000000000000001E-3</v>
      </c>
      <c r="H7" s="19"/>
      <c r="I7" s="23">
        <f>'Input - Life Cycle Information'!F27/1000</f>
        <v>2.0000000000000018E-3</v>
      </c>
      <c r="J7" s="18"/>
      <c r="K7" s="27">
        <f>G7/SUM($E$7,$G$7,$I$7)</f>
        <v>0.03</v>
      </c>
      <c r="L7" s="28" t="str">
        <f>CONCATENATE("of ",G6)</f>
        <v>of LDPE</v>
      </c>
      <c r="M7" s="18"/>
      <c r="N7" s="20"/>
      <c r="P7" s="21"/>
      <c r="Q7" s="20"/>
      <c r="R7" s="20"/>
      <c r="S7" s="20"/>
      <c r="T7" s="20"/>
    </row>
    <row r="8" spans="1:21" ht="24" customHeight="1" x14ac:dyDescent="0.3">
      <c r="A8" s="17"/>
      <c r="B8" s="17"/>
      <c r="C8" s="17"/>
      <c r="D8" s="26" t="s">
        <v>305</v>
      </c>
      <c r="E8" s="29"/>
      <c r="F8" s="19"/>
      <c r="G8" s="29"/>
      <c r="H8" s="19"/>
      <c r="I8" s="29"/>
      <c r="J8" s="18"/>
      <c r="K8" s="27">
        <f>I7/SUM($E$7,$G$7,$I$7)</f>
        <v>2.0000000000000018E-2</v>
      </c>
      <c r="L8" s="28" t="str">
        <f>CONCATENATE("of ",I6)</f>
        <v>of PET</v>
      </c>
      <c r="M8" s="18"/>
      <c r="N8" s="20"/>
      <c r="O8" s="510"/>
      <c r="P8" s="21"/>
      <c r="R8" s="20"/>
      <c r="S8" s="20"/>
      <c r="T8" s="20"/>
    </row>
    <row r="9" spans="1:21" ht="24" customHeight="1" x14ac:dyDescent="0.3">
      <c r="A9" s="17"/>
      <c r="B9" s="17"/>
      <c r="C9" s="17"/>
      <c r="D9" s="450" t="s">
        <v>306</v>
      </c>
      <c r="E9" s="448" t="str">
        <f>'Input - Life Cycle Information'!C25</f>
        <v>Extrusion, co-extrusion {FR}</v>
      </c>
      <c r="F9" s="451"/>
      <c r="G9" s="23" t="str">
        <f>'Input - Life Cycle Information'!E25</f>
        <v>Extrusion, plastic film {RER}</v>
      </c>
      <c r="H9" s="451"/>
      <c r="I9" s="23" t="str">
        <f>'Input - Life Cycle Information'!F25</f>
        <v>Extrusion, plastic film {RER}</v>
      </c>
      <c r="J9" s="452"/>
      <c r="K9" s="30">
        <f>E7+G7+I7</f>
        <v>0.1</v>
      </c>
      <c r="L9" s="31" t="str">
        <f>"kg"</f>
        <v>kg</v>
      </c>
      <c r="M9" s="18"/>
      <c r="N9" s="20"/>
      <c r="O9" s="510"/>
      <c r="P9" s="21"/>
      <c r="Q9" s="20"/>
      <c r="R9" s="20"/>
      <c r="S9" s="20"/>
      <c r="T9" s="20"/>
    </row>
    <row r="10" spans="1:21" ht="12" customHeight="1" x14ac:dyDescent="0.3">
      <c r="A10" s="17"/>
      <c r="B10" s="17"/>
      <c r="C10" s="17"/>
      <c r="D10" s="18"/>
      <c r="E10" s="18"/>
      <c r="F10" s="18"/>
      <c r="G10" s="18"/>
      <c r="H10" s="18"/>
      <c r="I10" s="18"/>
      <c r="J10" s="18"/>
      <c r="K10" s="19"/>
      <c r="L10" s="18"/>
      <c r="M10" s="18"/>
      <c r="N10" s="20"/>
      <c r="O10" s="510"/>
      <c r="P10" s="21"/>
      <c r="Q10" s="20"/>
      <c r="R10" s="20"/>
      <c r="S10" s="20"/>
      <c r="T10" s="20"/>
    </row>
    <row r="11" spans="1:21" s="34" customFormat="1" ht="40.049999999999997" customHeight="1" x14ac:dyDescent="0.3">
      <c r="A11" s="505" t="s">
        <v>15</v>
      </c>
      <c r="B11" s="505"/>
      <c r="C11" s="505"/>
      <c r="D11" s="505"/>
      <c r="E11" s="505"/>
      <c r="F11" s="505"/>
      <c r="G11" s="505"/>
      <c r="H11" s="505"/>
      <c r="I11" s="505"/>
      <c r="J11" s="505"/>
      <c r="K11" s="505"/>
      <c r="L11" s="505"/>
      <c r="M11" s="505"/>
      <c r="N11" s="32"/>
      <c r="O11" s="32"/>
      <c r="P11" s="33"/>
      <c r="Q11" s="32"/>
      <c r="R11" s="32"/>
      <c r="S11" s="32"/>
      <c r="T11" s="32"/>
    </row>
    <row r="12" spans="1:21" s="34" customFormat="1" ht="12" customHeight="1" x14ac:dyDescent="0.3">
      <c r="A12" s="17"/>
      <c r="B12" s="35"/>
      <c r="C12" s="35"/>
      <c r="D12" s="35"/>
      <c r="E12" s="35"/>
      <c r="F12" s="35"/>
      <c r="G12" s="35"/>
      <c r="H12" s="35"/>
      <c r="I12" s="35"/>
      <c r="J12" s="35"/>
      <c r="K12" s="35"/>
      <c r="L12" s="35"/>
      <c r="M12" s="35"/>
      <c r="N12" s="32"/>
      <c r="O12" s="32"/>
      <c r="P12" s="33"/>
      <c r="Q12" s="32"/>
      <c r="R12" s="32"/>
      <c r="S12" s="32"/>
      <c r="T12" s="32"/>
    </row>
    <row r="13" spans="1:21" ht="24" customHeight="1" x14ac:dyDescent="0.3">
      <c r="A13" s="17"/>
      <c r="B13" s="17"/>
      <c r="C13" s="17"/>
      <c r="D13" s="511" t="s">
        <v>310</v>
      </c>
      <c r="E13" s="25" t="s">
        <v>615</v>
      </c>
      <c r="F13" s="512" t="s">
        <v>311</v>
      </c>
      <c r="G13" s="449" t="s">
        <v>312</v>
      </c>
      <c r="H13" s="512" t="s">
        <v>313</v>
      </c>
      <c r="I13" s="449" t="s">
        <v>314</v>
      </c>
      <c r="J13" s="36"/>
      <c r="K13" s="19"/>
      <c r="L13" s="18"/>
      <c r="M13" s="18"/>
      <c r="N13" s="20"/>
      <c r="O13" s="20"/>
      <c r="P13" s="21"/>
      <c r="Q13" s="20"/>
      <c r="R13" s="20"/>
      <c r="S13" s="20"/>
      <c r="T13" s="20"/>
    </row>
    <row r="14" spans="1:21" ht="24" customHeight="1" x14ac:dyDescent="0.3">
      <c r="A14" s="17"/>
      <c r="B14" s="17"/>
      <c r="C14" s="17"/>
      <c r="D14" s="511"/>
      <c r="E14" s="37">
        <f>'Input - Life Cycle Information'!C30</f>
        <v>20</v>
      </c>
      <c r="F14" s="512"/>
      <c r="G14" s="444" t="str">
        <f>'Input - Life Cycle Information'!C29</f>
        <v>Industrial washing</v>
      </c>
      <c r="H14" s="512"/>
      <c r="I14" s="444">
        <f>'Input - Life Cycle Information'!E29</f>
        <v>0</v>
      </c>
      <c r="J14" s="18"/>
      <c r="K14" s="19"/>
      <c r="L14" s="18"/>
      <c r="M14" s="18"/>
      <c r="N14" s="20"/>
      <c r="O14" s="20"/>
      <c r="P14" s="21"/>
      <c r="Q14" s="20"/>
      <c r="R14" s="20"/>
      <c r="S14" s="20"/>
      <c r="T14" s="20"/>
    </row>
    <row r="15" spans="1:21" ht="12" customHeight="1" x14ac:dyDescent="0.3">
      <c r="A15" s="17"/>
      <c r="B15" s="17"/>
      <c r="C15" s="17"/>
      <c r="D15" s="18"/>
      <c r="E15" s="38"/>
      <c r="F15" s="18"/>
      <c r="G15" s="18"/>
      <c r="H15" s="18"/>
      <c r="I15" s="18"/>
      <c r="J15" s="18"/>
      <c r="K15" s="19"/>
      <c r="L15" s="18"/>
      <c r="M15" s="18"/>
      <c r="N15" s="20"/>
      <c r="O15" s="20"/>
      <c r="P15" s="21"/>
      <c r="Q15" s="20"/>
      <c r="R15" s="20"/>
      <c r="S15" s="20"/>
      <c r="T15" s="20"/>
    </row>
    <row r="16" spans="1:21" s="34" customFormat="1" ht="40.049999999999997" customHeight="1" x14ac:dyDescent="0.55000000000000004">
      <c r="A16" s="505" t="s">
        <v>316</v>
      </c>
      <c r="B16" s="505"/>
      <c r="C16" s="505"/>
      <c r="D16" s="505"/>
      <c r="E16" s="505"/>
      <c r="F16" s="505"/>
      <c r="G16" s="505"/>
      <c r="H16" s="505"/>
      <c r="I16" s="505"/>
      <c r="J16" s="505"/>
      <c r="K16" s="505"/>
      <c r="L16" s="505"/>
      <c r="M16" s="505"/>
      <c r="N16" s="32"/>
      <c r="O16" s="32"/>
      <c r="P16" s="33"/>
      <c r="Q16" s="32"/>
      <c r="R16" s="32"/>
      <c r="S16" s="32"/>
      <c r="T16" s="32"/>
      <c r="U16" s="39"/>
    </row>
    <row r="17" spans="1:29" s="34" customFormat="1" ht="12" customHeight="1" x14ac:dyDescent="0.55000000000000004">
      <c r="A17" s="17"/>
      <c r="B17" s="35"/>
      <c r="C17" s="35"/>
      <c r="D17" s="35"/>
      <c r="E17" s="35"/>
      <c r="F17" s="35"/>
      <c r="G17" s="35"/>
      <c r="H17" s="35"/>
      <c r="I17" s="35"/>
      <c r="J17" s="35"/>
      <c r="K17" s="35"/>
      <c r="L17" s="35"/>
      <c r="M17" s="35"/>
      <c r="N17" s="32"/>
      <c r="O17" s="32"/>
      <c r="P17" s="33"/>
      <c r="Q17" s="32"/>
      <c r="R17" s="32"/>
      <c r="S17" s="32"/>
      <c r="T17" s="32"/>
      <c r="U17" s="39"/>
    </row>
    <row r="18" spans="1:29" ht="24" customHeight="1" x14ac:dyDescent="0.3">
      <c r="A18" s="17"/>
      <c r="B18" s="17"/>
      <c r="C18" s="17"/>
      <c r="D18" s="18"/>
      <c r="E18" s="40" t="s">
        <v>316</v>
      </c>
      <c r="F18" s="18"/>
      <c r="G18" s="38"/>
      <c r="H18" s="18"/>
      <c r="I18" s="40" t="s">
        <v>616</v>
      </c>
      <c r="J18" s="18"/>
      <c r="K18" s="19"/>
      <c r="L18" s="18"/>
      <c r="M18" s="18"/>
      <c r="N18" s="20"/>
      <c r="O18" s="20"/>
      <c r="P18" s="21"/>
      <c r="Q18" s="20"/>
      <c r="R18" s="20"/>
      <c r="S18" s="20"/>
      <c r="T18" s="20"/>
    </row>
    <row r="19" spans="1:29" ht="24" customHeight="1" x14ac:dyDescent="0.3">
      <c r="A19" s="17"/>
      <c r="B19" s="17"/>
      <c r="C19" s="17"/>
      <c r="D19" s="18"/>
      <c r="E19" s="23" t="s">
        <v>624</v>
      </c>
      <c r="F19" s="18"/>
      <c r="G19" s="506" t="s">
        <v>317</v>
      </c>
      <c r="H19" s="506"/>
      <c r="I19" s="23" t="s">
        <v>48</v>
      </c>
      <c r="J19" s="18"/>
      <c r="K19" s="19"/>
      <c r="L19" s="18"/>
      <c r="M19" s="18"/>
      <c r="N19" s="20"/>
      <c r="O19" s="20"/>
      <c r="P19" s="21"/>
      <c r="Q19" s="20"/>
      <c r="R19" s="20"/>
      <c r="S19" s="20"/>
      <c r="T19" s="20"/>
    </row>
    <row r="20" spans="1:29" ht="12" customHeight="1" x14ac:dyDescent="0.3">
      <c r="A20" s="17"/>
      <c r="B20" s="17"/>
      <c r="C20" s="17"/>
      <c r="D20" s="18"/>
      <c r="E20" s="18"/>
      <c r="F20" s="41"/>
      <c r="G20" s="41"/>
      <c r="H20" s="18"/>
      <c r="I20" s="18"/>
      <c r="J20" s="18"/>
      <c r="K20" s="19"/>
      <c r="L20" s="18"/>
      <c r="M20" s="18"/>
      <c r="N20" s="20"/>
      <c r="O20" s="20"/>
      <c r="P20" s="21"/>
      <c r="Q20" s="20"/>
      <c r="R20" s="20"/>
      <c r="S20" s="20"/>
      <c r="T20" s="20"/>
    </row>
    <row r="21" spans="1:29" s="34" customFormat="1" ht="40.049999999999997" customHeight="1" x14ac:dyDescent="0.3">
      <c r="A21" s="507" t="s">
        <v>814</v>
      </c>
      <c r="B21" s="507"/>
      <c r="C21" s="507"/>
      <c r="D21" s="507"/>
      <c r="E21" s="507"/>
      <c r="F21" s="507"/>
      <c r="G21" s="507"/>
      <c r="H21" s="507"/>
      <c r="I21" s="507"/>
      <c r="J21" s="507"/>
      <c r="K21" s="507"/>
      <c r="L21" s="507"/>
      <c r="M21" s="507"/>
      <c r="N21" s="32"/>
      <c r="O21" s="32"/>
      <c r="P21" s="33"/>
      <c r="Q21" s="32"/>
      <c r="R21" s="32"/>
      <c r="S21" s="32"/>
      <c r="T21" s="32"/>
      <c r="X21" s="32"/>
      <c r="Y21" s="32"/>
      <c r="Z21" s="42"/>
      <c r="AA21" s="32"/>
      <c r="AB21" s="32"/>
      <c r="AC21" s="32"/>
    </row>
    <row r="22" spans="1:29" s="34" customFormat="1" ht="12" customHeight="1" x14ac:dyDescent="0.3">
      <c r="A22" s="17" t="s">
        <v>815</v>
      </c>
      <c r="B22" s="43"/>
      <c r="C22" s="43"/>
      <c r="D22" s="43"/>
      <c r="E22" s="43"/>
      <c r="F22" s="43"/>
      <c r="G22" s="43"/>
      <c r="H22" s="43"/>
      <c r="I22" s="43"/>
      <c r="J22" s="43"/>
      <c r="K22" s="43"/>
      <c r="L22" s="43"/>
      <c r="M22" s="43"/>
      <c r="N22" s="32"/>
      <c r="O22" s="32"/>
      <c r="P22" s="33"/>
      <c r="Q22" s="32"/>
      <c r="R22" s="32"/>
      <c r="S22" s="32"/>
      <c r="T22" s="32"/>
      <c r="X22" s="32"/>
      <c r="Y22" s="32"/>
      <c r="Z22" s="42"/>
      <c r="AA22" s="32"/>
      <c r="AB22" s="32"/>
      <c r="AC22" s="32"/>
    </row>
    <row r="23" spans="1:29" ht="24" customHeight="1" x14ac:dyDescent="0.3">
      <c r="A23" s="17"/>
      <c r="B23" s="44"/>
      <c r="C23" s="44"/>
      <c r="D23" s="18"/>
      <c r="E23" s="25" t="s">
        <v>298</v>
      </c>
      <c r="F23" s="45"/>
      <c r="G23" s="25" t="s">
        <v>299</v>
      </c>
      <c r="H23" s="45"/>
      <c r="I23" s="25" t="s">
        <v>300</v>
      </c>
      <c r="J23" s="45"/>
      <c r="K23" s="25" t="s">
        <v>318</v>
      </c>
      <c r="L23" s="46"/>
      <c r="M23" s="18"/>
      <c r="N23" s="20"/>
      <c r="O23" s="20"/>
      <c r="P23" s="21"/>
      <c r="Q23" s="20"/>
      <c r="R23" s="20"/>
      <c r="S23" s="20"/>
      <c r="T23" s="20"/>
      <c r="X23" s="20"/>
      <c r="Y23" s="20"/>
      <c r="Z23" s="47" t="s">
        <v>319</v>
      </c>
      <c r="AA23" s="20"/>
      <c r="AB23" s="20"/>
      <c r="AC23" s="20"/>
    </row>
    <row r="24" spans="1:29" ht="24" customHeight="1" x14ac:dyDescent="0.3">
      <c r="A24" s="17"/>
      <c r="B24" s="44"/>
      <c r="C24" s="44"/>
      <c r="D24" s="48" t="s">
        <v>320</v>
      </c>
      <c r="E24" s="49">
        <v>0.5</v>
      </c>
      <c r="F24" s="48" t="s">
        <v>320</v>
      </c>
      <c r="G24" s="49">
        <v>0.75</v>
      </c>
      <c r="H24" s="48" t="s">
        <v>320</v>
      </c>
      <c r="I24" s="49">
        <v>0.3</v>
      </c>
      <c r="J24" s="48" t="s">
        <v>320</v>
      </c>
      <c r="K24" s="49">
        <v>0</v>
      </c>
      <c r="L24" s="46"/>
      <c r="M24" s="18"/>
      <c r="N24" s="20"/>
      <c r="O24" s="20"/>
      <c r="P24" s="21"/>
      <c r="Q24" s="20"/>
      <c r="R24" s="20"/>
      <c r="S24" s="20"/>
      <c r="T24" s="20"/>
      <c r="X24" s="20"/>
      <c r="Y24" s="20"/>
      <c r="Z24" s="20"/>
      <c r="AA24" s="20"/>
      <c r="AB24" s="20"/>
      <c r="AC24" s="20"/>
    </row>
    <row r="25" spans="1:29" ht="24" customHeight="1" x14ac:dyDescent="0.3">
      <c r="A25" s="17"/>
      <c r="B25" s="44"/>
      <c r="C25" s="44"/>
      <c r="D25" s="48" t="s">
        <v>321</v>
      </c>
      <c r="E25" s="29">
        <v>0.5</v>
      </c>
      <c r="F25" s="48" t="s">
        <v>321</v>
      </c>
      <c r="G25" s="29">
        <v>0.25</v>
      </c>
      <c r="H25" s="48" t="s">
        <v>321</v>
      </c>
      <c r="I25" s="29">
        <v>0.7</v>
      </c>
      <c r="J25" s="48" t="s">
        <v>321</v>
      </c>
      <c r="K25" s="29">
        <v>0</v>
      </c>
      <c r="L25" s="46"/>
      <c r="M25" s="18"/>
      <c r="N25" s="20"/>
      <c r="O25" s="20"/>
      <c r="P25" s="21"/>
      <c r="Q25" s="20"/>
      <c r="R25" s="20"/>
      <c r="S25" s="20"/>
      <c r="T25" s="20"/>
      <c r="X25" s="20"/>
      <c r="Y25" s="20"/>
      <c r="Z25" s="20"/>
      <c r="AA25" s="20"/>
      <c r="AB25" s="20"/>
      <c r="AC25" s="20"/>
    </row>
    <row r="26" spans="1:29" ht="24" customHeight="1" x14ac:dyDescent="0.3">
      <c r="A26" s="17"/>
      <c r="B26" s="44"/>
      <c r="C26" s="44"/>
      <c r="D26" s="48" t="s">
        <v>322</v>
      </c>
      <c r="E26" s="49">
        <v>0</v>
      </c>
      <c r="F26" s="48" t="s">
        <v>322</v>
      </c>
      <c r="G26" s="49">
        <v>0</v>
      </c>
      <c r="H26" s="48" t="s">
        <v>322</v>
      </c>
      <c r="I26" s="49">
        <v>0</v>
      </c>
      <c r="J26" s="48" t="s">
        <v>322</v>
      </c>
      <c r="K26" s="49">
        <v>0</v>
      </c>
      <c r="L26" s="46"/>
      <c r="M26" s="18"/>
      <c r="N26" s="20"/>
      <c r="O26" s="20"/>
      <c r="P26" s="21"/>
      <c r="Q26" s="20"/>
      <c r="R26" s="20"/>
      <c r="S26" s="20"/>
      <c r="T26" s="20"/>
      <c r="X26" s="20"/>
      <c r="Y26" s="20"/>
      <c r="Z26" s="20"/>
      <c r="AA26" s="20"/>
      <c r="AB26" s="20"/>
      <c r="AC26" s="20"/>
    </row>
    <row r="27" spans="1:29" ht="12" customHeight="1" x14ac:dyDescent="0.3">
      <c r="A27" s="17"/>
      <c r="B27" s="44"/>
      <c r="C27" s="44"/>
      <c r="D27" s="18"/>
      <c r="E27" s="18"/>
      <c r="F27" s="18"/>
      <c r="G27" s="18"/>
      <c r="H27" s="18"/>
      <c r="I27" s="18"/>
      <c r="J27" s="18"/>
      <c r="K27" s="46"/>
      <c r="L27" s="46"/>
      <c r="M27" s="18"/>
      <c r="N27" s="20"/>
      <c r="O27" s="20"/>
      <c r="P27" s="21"/>
      <c r="Q27" s="20"/>
      <c r="R27" s="20"/>
      <c r="S27" s="20"/>
      <c r="T27" s="20"/>
      <c r="X27" s="20"/>
      <c r="Y27" s="20"/>
      <c r="Z27" s="20"/>
      <c r="AA27" s="20"/>
      <c r="AB27" s="20"/>
      <c r="AC27" s="20"/>
    </row>
    <row r="28" spans="1:29" ht="40.049999999999997" customHeight="1" x14ac:dyDescent="0.3">
      <c r="A28" s="507" t="s">
        <v>323</v>
      </c>
      <c r="B28" s="507"/>
      <c r="C28" s="507"/>
      <c r="D28" s="507"/>
      <c r="E28" s="507"/>
      <c r="F28" s="507"/>
      <c r="G28" s="507"/>
      <c r="H28" s="507"/>
      <c r="I28" s="507"/>
      <c r="J28" s="507"/>
      <c r="K28" s="507"/>
      <c r="L28" s="507"/>
      <c r="M28" s="507"/>
      <c r="N28" s="20"/>
      <c r="O28" s="20"/>
      <c r="P28" s="21"/>
      <c r="Q28" s="20"/>
      <c r="R28" s="20"/>
      <c r="S28" s="20"/>
      <c r="T28" s="20"/>
      <c r="X28" s="20"/>
      <c r="Y28" s="20"/>
      <c r="Z28" s="20"/>
      <c r="AA28" s="20"/>
      <c r="AB28" s="20"/>
      <c r="AC28" s="20"/>
    </row>
    <row r="29" spans="1:29" ht="23.4" x14ac:dyDescent="0.3">
      <c r="A29" s="17"/>
      <c r="B29" s="50"/>
      <c r="C29" s="50"/>
      <c r="D29" s="51"/>
      <c r="E29" s="51"/>
      <c r="F29" s="51"/>
      <c r="G29" s="51"/>
      <c r="H29" s="51"/>
      <c r="I29" s="51"/>
      <c r="J29" s="51"/>
      <c r="K29" s="52"/>
      <c r="L29" s="51"/>
      <c r="M29" s="51"/>
      <c r="N29" s="20"/>
      <c r="O29" s="20"/>
      <c r="P29" s="21"/>
      <c r="Q29" s="20"/>
      <c r="R29" s="20"/>
      <c r="S29" s="20"/>
      <c r="T29" s="20"/>
      <c r="X29" s="20"/>
      <c r="Y29" s="20"/>
      <c r="Z29" s="20"/>
      <c r="AA29" s="20"/>
      <c r="AB29" s="20"/>
      <c r="AC29" s="20"/>
    </row>
    <row r="30" spans="1:29" ht="25.8" x14ac:dyDescent="0.3">
      <c r="A30" s="17"/>
      <c r="B30" s="508" t="s">
        <v>324</v>
      </c>
      <c r="C30" s="508"/>
      <c r="D30" s="508"/>
      <c r="E30" s="508"/>
      <c r="F30" s="508"/>
      <c r="G30" s="509" t="s">
        <v>325</v>
      </c>
      <c r="H30" s="509"/>
      <c r="I30" s="509"/>
      <c r="J30" s="509"/>
      <c r="K30" s="509"/>
      <c r="L30" s="509"/>
      <c r="M30" s="509"/>
      <c r="N30" s="20"/>
      <c r="O30" s="20"/>
      <c r="P30" s="21"/>
      <c r="Q30" s="20"/>
      <c r="R30" s="20"/>
      <c r="S30" s="20"/>
      <c r="T30" s="20"/>
      <c r="X30" s="20"/>
      <c r="Y30" s="20"/>
      <c r="Z30" s="20"/>
      <c r="AA30" s="20"/>
      <c r="AB30" s="20"/>
      <c r="AC30" s="20"/>
    </row>
    <row r="31" spans="1:29" ht="12" customHeight="1" x14ac:dyDescent="0.3">
      <c r="A31" s="17"/>
      <c r="B31" s="53"/>
      <c r="C31" s="53"/>
      <c r="D31" s="53"/>
      <c r="E31" s="53"/>
      <c r="F31" s="53"/>
      <c r="G31" s="25"/>
      <c r="H31" s="25"/>
      <c r="I31" s="25"/>
      <c r="J31" s="25"/>
      <c r="K31" s="25"/>
      <c r="L31" s="25"/>
      <c r="M31" s="25"/>
      <c r="N31" s="20"/>
      <c r="O31" s="20"/>
      <c r="P31" s="21"/>
      <c r="Q31" s="20"/>
      <c r="R31" s="20"/>
      <c r="S31" s="20"/>
      <c r="T31" s="20"/>
      <c r="X31" s="20"/>
      <c r="Y31" s="20"/>
      <c r="Z31" s="20"/>
      <c r="AA31" s="20"/>
      <c r="AB31" s="20"/>
      <c r="AC31" s="20"/>
    </row>
    <row r="32" spans="1:29" ht="24" customHeight="1" x14ac:dyDescent="0.3">
      <c r="A32" s="17"/>
      <c r="B32" s="54"/>
      <c r="C32" s="513" t="s">
        <v>326</v>
      </c>
      <c r="D32" s="51"/>
      <c r="E32" s="53"/>
      <c r="F32" s="51"/>
      <c r="G32" s="51"/>
      <c r="H32" s="51"/>
      <c r="I32" s="51"/>
      <c r="J32" s="51"/>
      <c r="K32" s="52"/>
      <c r="L32" s="51"/>
      <c r="M32" s="51"/>
      <c r="N32" s="20"/>
      <c r="O32" s="20"/>
      <c r="P32" s="21"/>
      <c r="Q32" s="20"/>
      <c r="R32" s="20"/>
      <c r="S32" s="20"/>
      <c r="T32" s="20"/>
      <c r="X32" s="20"/>
      <c r="Y32" s="20"/>
      <c r="Z32" s="20"/>
      <c r="AA32" s="20"/>
      <c r="AB32" s="20"/>
      <c r="AC32" s="20"/>
    </row>
    <row r="33" spans="1:29" s="16" customFormat="1" ht="24" customHeight="1" x14ac:dyDescent="0.3">
      <c r="A33" s="17"/>
      <c r="B33" s="55"/>
      <c r="C33" s="514"/>
      <c r="D33" s="51"/>
      <c r="E33" s="56">
        <f>AVERAGE(C34:C41)</f>
        <v>0.30867438983249712</v>
      </c>
      <c r="F33" s="57"/>
      <c r="G33" s="57"/>
      <c r="H33" s="57"/>
      <c r="I33" s="57"/>
      <c r="J33" s="57"/>
      <c r="K33" s="58"/>
      <c r="L33" s="57"/>
      <c r="M33" s="57"/>
      <c r="N33" s="14"/>
      <c r="O33" s="14"/>
      <c r="P33" s="15"/>
      <c r="Q33" s="14"/>
      <c r="R33" s="14"/>
      <c r="S33" s="14"/>
      <c r="T33" s="14"/>
      <c r="X33" s="14"/>
      <c r="Y33" s="14"/>
      <c r="Z33" s="14"/>
      <c r="AA33" s="14"/>
      <c r="AB33" s="14"/>
      <c r="AC33" s="14"/>
    </row>
    <row r="34" spans="1:29" ht="24" customHeight="1" x14ac:dyDescent="0.3">
      <c r="A34" s="17"/>
      <c r="B34" s="59" t="s">
        <v>327</v>
      </c>
      <c r="C34" s="60">
        <f>DGhelper!H5</f>
        <v>6.3894323757661214E-2</v>
      </c>
      <c r="D34" s="51"/>
      <c r="E34" s="515" t="s">
        <v>774</v>
      </c>
      <c r="F34" s="51"/>
      <c r="G34" s="51"/>
      <c r="H34" s="51"/>
      <c r="I34" s="51"/>
      <c r="J34" s="51"/>
      <c r="K34" s="52"/>
      <c r="L34" s="51"/>
      <c r="M34" s="51"/>
      <c r="N34" s="20"/>
      <c r="O34" s="20"/>
      <c r="P34" s="21"/>
      <c r="Q34" s="20"/>
      <c r="R34" s="20"/>
      <c r="S34" s="20"/>
      <c r="T34" s="20"/>
      <c r="X34" s="20"/>
      <c r="Y34" s="20"/>
      <c r="Z34" s="20"/>
      <c r="AA34" s="20"/>
      <c r="AB34" s="20"/>
      <c r="AC34" s="20"/>
    </row>
    <row r="35" spans="1:29" ht="24" customHeight="1" x14ac:dyDescent="0.3">
      <c r="A35" s="17"/>
      <c r="B35" s="59" t="s">
        <v>328</v>
      </c>
      <c r="C35" s="61">
        <f>DGhelper!H9</f>
        <v>0.49951673593133322</v>
      </c>
      <c r="D35" s="51"/>
      <c r="E35" s="515"/>
      <c r="F35" s="51"/>
      <c r="G35" s="51"/>
      <c r="H35" s="51"/>
      <c r="I35" s="51"/>
      <c r="J35" s="51"/>
      <c r="K35" s="52"/>
      <c r="L35" s="51"/>
      <c r="M35" s="51"/>
      <c r="N35" s="20"/>
      <c r="O35" s="20"/>
      <c r="P35" s="21"/>
      <c r="Q35" s="20"/>
      <c r="R35" s="20"/>
      <c r="S35" s="20"/>
      <c r="T35" s="20"/>
      <c r="X35" s="20"/>
      <c r="Y35" s="20"/>
      <c r="Z35" s="20"/>
      <c r="AA35" s="20"/>
      <c r="AB35" s="20"/>
      <c r="AC35" s="20"/>
    </row>
    <row r="36" spans="1:29" ht="24" customHeight="1" x14ac:dyDescent="0.3">
      <c r="A36" s="17"/>
      <c r="B36" s="59" t="s">
        <v>329</v>
      </c>
      <c r="C36" s="61">
        <f>DGhelper!H13</f>
        <v>0.48411596648139715</v>
      </c>
      <c r="D36" s="51"/>
      <c r="E36" s="515"/>
      <c r="F36" s="51"/>
      <c r="G36" s="51"/>
      <c r="H36" s="51"/>
      <c r="I36" s="51"/>
      <c r="J36" s="51"/>
      <c r="K36" s="52"/>
      <c r="L36" s="51"/>
      <c r="M36" s="51"/>
      <c r="N36" s="20"/>
      <c r="O36" s="20"/>
      <c r="P36" s="21"/>
      <c r="Q36" s="20"/>
      <c r="R36" s="20"/>
      <c r="S36" s="20"/>
      <c r="T36" s="20"/>
      <c r="X36" s="20"/>
      <c r="Y36" s="20"/>
      <c r="Z36" s="20"/>
      <c r="AA36" s="20"/>
      <c r="AB36" s="20"/>
      <c r="AC36" s="20"/>
    </row>
    <row r="37" spans="1:29" ht="24" customHeight="1" x14ac:dyDescent="0.3">
      <c r="A37" s="17"/>
      <c r="B37" s="59" t="s">
        <v>330</v>
      </c>
      <c r="C37" s="61">
        <f>DGhelper!H17</f>
        <v>0.49396733289928141</v>
      </c>
      <c r="D37" s="51"/>
      <c r="E37" s="515"/>
      <c r="F37" s="51"/>
      <c r="G37" s="51"/>
      <c r="H37" s="51"/>
      <c r="I37" s="51"/>
      <c r="J37" s="51"/>
      <c r="K37" s="52"/>
      <c r="L37" s="51"/>
      <c r="M37" s="51"/>
      <c r="N37" s="20"/>
      <c r="O37" s="20"/>
      <c r="P37" s="21"/>
      <c r="Q37" s="20"/>
      <c r="R37" s="20"/>
      <c r="S37" s="20"/>
      <c r="T37" s="20"/>
      <c r="X37" s="20"/>
      <c r="Y37" s="20"/>
      <c r="Z37" s="20"/>
      <c r="AA37" s="20"/>
      <c r="AB37" s="20"/>
      <c r="AC37" s="20"/>
    </row>
    <row r="38" spans="1:29" ht="24" customHeight="1" x14ac:dyDescent="0.3">
      <c r="A38" s="17"/>
      <c r="B38" s="59" t="s">
        <v>331</v>
      </c>
      <c r="C38" s="61">
        <f>DGhelper!H21</f>
        <v>1.0052793616721705E-3</v>
      </c>
      <c r="D38" s="51"/>
      <c r="E38" s="515"/>
      <c r="F38" s="51"/>
      <c r="G38" s="51"/>
      <c r="H38" s="51"/>
      <c r="I38" s="51"/>
      <c r="J38" s="51"/>
      <c r="K38" s="52"/>
      <c r="L38" s="51"/>
      <c r="M38" s="51"/>
      <c r="N38" s="20"/>
      <c r="O38" s="20"/>
      <c r="P38" s="21"/>
      <c r="Q38" s="20"/>
      <c r="R38" s="20"/>
      <c r="S38" s="20"/>
      <c r="T38" s="20"/>
      <c r="X38" s="20"/>
      <c r="Y38" s="20"/>
      <c r="Z38" s="20"/>
      <c r="AA38" s="20"/>
      <c r="AB38" s="20"/>
      <c r="AC38" s="20"/>
    </row>
    <row r="39" spans="1:29" ht="24" customHeight="1" x14ac:dyDescent="0.3">
      <c r="A39" s="17"/>
      <c r="B39" s="59" t="s">
        <v>332</v>
      </c>
      <c r="C39" s="61">
        <f>DGhelper!H25</f>
        <v>0.10926221435990263</v>
      </c>
      <c r="D39" s="51"/>
      <c r="E39" s="515"/>
      <c r="F39" s="51"/>
      <c r="G39" s="51"/>
      <c r="H39" s="51"/>
      <c r="I39" s="51"/>
      <c r="J39" s="51"/>
      <c r="K39" s="52"/>
      <c r="L39" s="51"/>
      <c r="M39" s="51"/>
      <c r="N39" s="20"/>
      <c r="O39" s="20"/>
      <c r="P39" s="21"/>
      <c r="Q39" s="20"/>
      <c r="R39" s="20"/>
      <c r="S39" s="20"/>
      <c r="T39" s="20"/>
      <c r="X39" s="20"/>
      <c r="Y39" s="20"/>
      <c r="Z39" s="20"/>
      <c r="AA39" s="20"/>
      <c r="AB39" s="20"/>
      <c r="AC39" s="20"/>
    </row>
    <row r="40" spans="1:29" ht="24" customHeight="1" x14ac:dyDescent="0.3">
      <c r="A40" s="17"/>
      <c r="B40" s="59" t="s">
        <v>333</v>
      </c>
      <c r="C40" s="61">
        <f>DGhelper!H29</f>
        <v>0.33770657128110704</v>
      </c>
      <c r="D40" s="51"/>
      <c r="E40" s="515"/>
      <c r="F40" s="51"/>
      <c r="G40" s="51"/>
      <c r="H40" s="51"/>
      <c r="I40" s="51"/>
      <c r="J40" s="51"/>
      <c r="K40" s="52"/>
      <c r="L40" s="51"/>
      <c r="M40" s="51"/>
      <c r="N40" s="20"/>
      <c r="O40" s="20"/>
      <c r="P40" s="21"/>
      <c r="Q40" s="20"/>
      <c r="R40" s="20"/>
      <c r="S40" s="20"/>
      <c r="T40" s="20"/>
      <c r="X40" s="20"/>
      <c r="Y40" s="20"/>
      <c r="Z40" s="20"/>
      <c r="AA40" s="20"/>
      <c r="AB40" s="20"/>
      <c r="AC40" s="20"/>
    </row>
    <row r="41" spans="1:29" ht="24" customHeight="1" x14ac:dyDescent="0.3">
      <c r="A41" s="17"/>
      <c r="B41" s="59" t="s">
        <v>334</v>
      </c>
      <c r="C41" s="61">
        <f>DGhelper!H33</f>
        <v>0.47992669458762255</v>
      </c>
      <c r="D41" s="51"/>
      <c r="E41" s="62"/>
      <c r="F41" s="51"/>
      <c r="G41" s="51"/>
      <c r="H41" s="51"/>
      <c r="I41" s="51"/>
      <c r="J41" s="51"/>
      <c r="K41" s="52"/>
      <c r="L41" s="51"/>
      <c r="M41" s="51"/>
      <c r="N41" s="20"/>
      <c r="O41" s="20"/>
      <c r="P41" s="21"/>
      <c r="Q41" s="20"/>
      <c r="R41" s="20"/>
      <c r="S41" s="20"/>
      <c r="T41" s="20"/>
      <c r="X41" s="20"/>
      <c r="Y41" s="20"/>
      <c r="Z41" s="20"/>
      <c r="AA41" s="20"/>
      <c r="AB41" s="20"/>
      <c r="AC41" s="20"/>
    </row>
    <row r="42" spans="1:29" ht="23.4" x14ac:dyDescent="0.3">
      <c r="A42" s="17"/>
      <c r="B42" s="50"/>
      <c r="C42" s="50"/>
      <c r="D42" s="51"/>
      <c r="E42" s="51"/>
      <c r="F42" s="51"/>
      <c r="G42" s="51"/>
      <c r="H42" s="51"/>
      <c r="I42" s="51"/>
      <c r="J42" s="51"/>
      <c r="K42" s="52"/>
      <c r="L42" s="51"/>
      <c r="M42" s="51"/>
      <c r="N42" s="20"/>
      <c r="O42" s="20"/>
      <c r="P42" s="21"/>
      <c r="Q42" s="20"/>
      <c r="R42" s="20"/>
      <c r="S42" s="20"/>
      <c r="T42" s="20"/>
      <c r="X42" s="20"/>
      <c r="Y42" s="20"/>
      <c r="Z42" s="20"/>
      <c r="AA42" s="20"/>
      <c r="AB42" s="20"/>
      <c r="AC42" s="20"/>
    </row>
    <row r="43" spans="1:29" ht="23.4" x14ac:dyDescent="0.3">
      <c r="A43" s="17"/>
      <c r="B43" s="50"/>
      <c r="C43" s="50"/>
      <c r="D43" s="51"/>
      <c r="E43" s="51"/>
      <c r="F43" s="51"/>
      <c r="G43" s="51"/>
      <c r="H43" s="51"/>
      <c r="I43" s="51"/>
      <c r="J43" s="51"/>
      <c r="K43" s="52"/>
      <c r="L43" s="51"/>
      <c r="M43" s="51"/>
      <c r="N43" s="20"/>
      <c r="O43" s="20"/>
      <c r="P43" s="21"/>
      <c r="Q43" s="20"/>
      <c r="R43" s="20"/>
      <c r="S43" s="20"/>
      <c r="T43" s="20"/>
      <c r="X43" s="20"/>
      <c r="Y43" s="20"/>
      <c r="Z43" s="20"/>
      <c r="AA43" s="20"/>
      <c r="AB43" s="20"/>
      <c r="AC43" s="20"/>
    </row>
    <row r="44" spans="1:29" x14ac:dyDescent="0.3">
      <c r="B44" s="63"/>
      <c r="C44" s="63"/>
      <c r="D44" s="20"/>
      <c r="E44" s="20"/>
      <c r="F44" s="20"/>
      <c r="G44" s="20"/>
      <c r="H44" s="20"/>
      <c r="I44" s="20"/>
      <c r="J44" s="20"/>
      <c r="K44" s="21"/>
      <c r="L44" s="20"/>
      <c r="M44" s="20"/>
      <c r="N44" s="20"/>
      <c r="O44" s="20"/>
      <c r="P44" s="21"/>
      <c r="Q44" s="20"/>
      <c r="R44" s="20"/>
      <c r="S44" s="20"/>
      <c r="T44" s="20"/>
      <c r="X44" s="20"/>
      <c r="Y44" s="20"/>
      <c r="Z44" s="20"/>
      <c r="AA44" s="20"/>
      <c r="AB44" s="20"/>
      <c r="AC44" s="20"/>
    </row>
    <row r="45" spans="1:29" ht="33" customHeight="1" x14ac:dyDescent="0.3">
      <c r="B45" s="502" t="s">
        <v>323</v>
      </c>
      <c r="C45" s="502"/>
      <c r="D45" s="64"/>
      <c r="E45" s="64"/>
      <c r="F45" s="64"/>
      <c r="G45" s="64"/>
      <c r="H45" s="64"/>
      <c r="I45" s="64"/>
      <c r="J45" s="64"/>
      <c r="K45" s="64"/>
      <c r="L45" s="65"/>
      <c r="M45" s="65"/>
      <c r="N45" s="20"/>
      <c r="O45" s="20"/>
      <c r="P45" s="21"/>
      <c r="Q45" s="20"/>
      <c r="R45" s="20"/>
      <c r="S45" s="20"/>
      <c r="T45" s="20"/>
      <c r="X45" s="20"/>
      <c r="Y45" s="20"/>
      <c r="Z45" s="20"/>
      <c r="AA45" s="20"/>
      <c r="AB45" s="20"/>
      <c r="AC45" s="20"/>
    </row>
    <row r="46" spans="1:29" ht="33" customHeight="1" x14ac:dyDescent="0.3">
      <c r="B46" s="66"/>
      <c r="C46" s="66"/>
      <c r="D46" s="64"/>
      <c r="E46" s="67" t="s">
        <v>298</v>
      </c>
      <c r="F46" s="68"/>
      <c r="G46" s="67" t="s">
        <v>299</v>
      </c>
      <c r="H46" s="68"/>
      <c r="I46" s="67" t="s">
        <v>300</v>
      </c>
      <c r="J46" s="68"/>
      <c r="K46" s="69" t="s">
        <v>335</v>
      </c>
      <c r="L46" s="65"/>
      <c r="M46" s="65"/>
      <c r="N46" s="20"/>
      <c r="O46" s="20"/>
      <c r="P46" s="21"/>
      <c r="Q46" s="20"/>
      <c r="R46" s="20"/>
      <c r="S46" s="20"/>
      <c r="T46" s="20"/>
      <c r="X46" s="20"/>
      <c r="Y46" s="20"/>
      <c r="Z46" s="20"/>
      <c r="AA46" s="20"/>
      <c r="AB46" s="20"/>
      <c r="AC46" s="20"/>
    </row>
    <row r="47" spans="1:29" s="20" customFormat="1" ht="3" customHeight="1" x14ac:dyDescent="0.3">
      <c r="B47" s="70"/>
      <c r="C47" s="70"/>
      <c r="D47" s="71"/>
      <c r="E47" s="72"/>
      <c r="F47" s="47"/>
      <c r="G47" s="72"/>
      <c r="H47" s="47"/>
      <c r="I47" s="72"/>
      <c r="J47" s="47"/>
      <c r="K47" s="73"/>
      <c r="P47" s="21"/>
    </row>
    <row r="48" spans="1:29" ht="24" customHeight="1" x14ac:dyDescent="0.35">
      <c r="B48" s="74"/>
      <c r="C48" s="75" t="s">
        <v>327</v>
      </c>
      <c r="D48" s="76" t="s">
        <v>336</v>
      </c>
      <c r="E48" s="77">
        <f>IF($I$19="yes",(SUM(E49,E50,E57)/$E$14),(SUM(E49:E55)/$E$14))</f>
        <v>1.5561049403736666E-2</v>
      </c>
      <c r="F48" s="78"/>
      <c r="G48" s="77">
        <f>IF($I$19="yes",(SUM(G49,G50,G57)/$E$14),(SUM(G49:G55)/$E$14))</f>
        <v>9.8381455601999996E-4</v>
      </c>
      <c r="H48" s="78"/>
      <c r="I48" s="77">
        <f>IF($I$19="yes",(SUM(I49,I50,I57)/$E$14),(SUM(I49:I55)/$E$14))</f>
        <v>3.6399575068000035E-4</v>
      </c>
      <c r="J48" s="78"/>
      <c r="K48" s="77">
        <f>IF($I$19="yes",(SUM(K49,K50,K51,K52,K57)/$E$14),(SUM(K49:K55)/$E$14))</f>
        <v>1.7029239826336667E-2</v>
      </c>
      <c r="L48" s="77">
        <f>IF($I$19="yes",(SUM(K49,K50,K51,K52,K57)/1),(SUM(K49:K55)/1))</f>
        <v>0.34058479652673335</v>
      </c>
      <c r="M48" s="65"/>
      <c r="N48" s="20"/>
      <c r="O48" s="20"/>
      <c r="P48" s="21"/>
      <c r="Q48" s="20"/>
      <c r="R48" s="20"/>
      <c r="S48" s="20"/>
      <c r="T48" s="20"/>
      <c r="X48" s="20"/>
      <c r="Y48" s="20"/>
      <c r="Z48" s="20"/>
      <c r="AA48" s="20"/>
      <c r="AB48" s="20"/>
      <c r="AC48" s="20"/>
    </row>
    <row r="49" spans="2:29" ht="15" customHeight="1" outlineLevel="1" x14ac:dyDescent="0.35">
      <c r="B49" s="74"/>
      <c r="C49" s="79"/>
      <c r="D49" s="80" t="s">
        <v>13</v>
      </c>
      <c r="E49" s="81">
        <f>(1-$E$8)*HLOOKUP($E$6,'DGbase données'!$A$1:$S$17,2,0)*$E$7</f>
        <v>0</v>
      </c>
      <c r="F49" s="81"/>
      <c r="G49" s="81">
        <f>(1-$G$8)*HLOOKUP($G$6,'DGbase données'!$A$1:$S$17,2,0)*$G$7</f>
        <v>7.6930842000000003E-3</v>
      </c>
      <c r="H49" s="82"/>
      <c r="I49" s="81">
        <f>(1-$I$8)*HLOOKUP($I$6,'DGbase données'!$A$1:$S$17,2,0)*$I$7</f>
        <v>6.4218016000000058E-3</v>
      </c>
      <c r="J49" s="82"/>
      <c r="K49" s="83">
        <f>SUM(E49:I49)</f>
        <v>1.4114885800000006E-2</v>
      </c>
      <c r="L49" s="65"/>
      <c r="M49" s="65"/>
      <c r="N49" s="20"/>
      <c r="O49" s="20"/>
      <c r="P49" s="21"/>
      <c r="Q49" s="20"/>
      <c r="R49" s="20"/>
      <c r="S49" s="20"/>
      <c r="T49" s="20"/>
      <c r="X49" s="20"/>
      <c r="Y49" s="20"/>
      <c r="Z49" s="20"/>
      <c r="AA49" s="20"/>
      <c r="AB49" s="20"/>
      <c r="AC49" s="20"/>
    </row>
    <row r="50" spans="2:29" ht="15" customHeight="1" outlineLevel="1" x14ac:dyDescent="0.35">
      <c r="B50" s="74"/>
      <c r="C50" s="79"/>
      <c r="D50" s="80" t="s">
        <v>306</v>
      </c>
      <c r="E50" s="81">
        <f>$E$7*HLOOKUP($E$9,'DGbase données'!$A$19:$K$35,2,0)</f>
        <v>3.05409914E-5</v>
      </c>
      <c r="F50" s="81"/>
      <c r="G50" s="81">
        <f>$G$7*HLOOKUP($G$9,'DGbase données'!$A$19:$K$35,2,0)</f>
        <v>4.6125203999999998E-6</v>
      </c>
      <c r="H50" s="82"/>
      <c r="I50" s="81">
        <f>$I$7*HLOOKUP($I$9,'DGbase données'!$A$19:$K$35,2,0)</f>
        <v>3.0750136000000025E-6</v>
      </c>
      <c r="J50" s="82"/>
      <c r="K50" s="83">
        <f t="shared" ref="K50:K55" si="0">SUM(E50:I50)</f>
        <v>3.8228525400000003E-5</v>
      </c>
      <c r="L50" s="455"/>
      <c r="M50" s="65"/>
      <c r="N50" s="20"/>
      <c r="O50" s="20"/>
      <c r="P50" s="21"/>
      <c r="Q50" s="20"/>
      <c r="R50" s="20"/>
      <c r="S50" s="20"/>
      <c r="T50" s="20"/>
      <c r="X50" s="20"/>
      <c r="Y50" s="20"/>
      <c r="Z50" s="20"/>
      <c r="AA50" s="20"/>
      <c r="AB50" s="20"/>
      <c r="AC50" s="20"/>
    </row>
    <row r="51" spans="2:29" ht="15" customHeight="1" outlineLevel="1" x14ac:dyDescent="0.35">
      <c r="B51" s="74"/>
      <c r="C51" s="79"/>
      <c r="D51" s="80" t="s">
        <v>312</v>
      </c>
      <c r="E51" s="81" t="s">
        <v>21</v>
      </c>
      <c r="F51" s="81"/>
      <c r="G51" s="81"/>
      <c r="H51" s="82"/>
      <c r="I51" s="81"/>
      <c r="J51" s="82"/>
      <c r="K51" s="83">
        <f>IF(ISBLANK($G$14),0,$E$3*HLOOKUP($G$14,'DGbase données'!$A$58:$G$74,2,0))</f>
        <v>2.407602318E-3</v>
      </c>
      <c r="L51" s="65"/>
      <c r="M51" s="65"/>
      <c r="N51" s="20"/>
      <c r="O51" s="20"/>
      <c r="P51" s="21"/>
      <c r="Q51" s="20"/>
      <c r="R51" s="20"/>
      <c r="S51" s="20"/>
      <c r="T51" s="20"/>
      <c r="X51" s="20"/>
      <c r="Y51" s="20"/>
      <c r="Z51" s="20"/>
      <c r="AA51" s="20"/>
      <c r="AB51" s="20"/>
      <c r="AC51" s="20"/>
    </row>
    <row r="52" spans="2:29" ht="15" customHeight="1" outlineLevel="1" x14ac:dyDescent="0.35">
      <c r="B52" s="74"/>
      <c r="C52" s="79"/>
      <c r="D52" s="80" t="s">
        <v>314</v>
      </c>
      <c r="E52" s="81"/>
      <c r="F52" s="81"/>
      <c r="G52" s="81"/>
      <c r="H52" s="82"/>
      <c r="I52" s="81"/>
      <c r="J52" s="82"/>
      <c r="K52" s="83">
        <f>IF(($I$14=0),0,$E$3*HLOOKUP($I$14,'DGbase données'!$A$58:$G$74,2,0))</f>
        <v>0</v>
      </c>
      <c r="L52" s="65"/>
      <c r="M52" s="65"/>
      <c r="N52" s="20"/>
      <c r="R52" s="15"/>
      <c r="S52" s="20"/>
      <c r="T52" s="20"/>
      <c r="X52" s="20"/>
      <c r="Y52" s="20"/>
      <c r="Z52" s="20"/>
      <c r="AA52" s="20"/>
      <c r="AB52" s="20"/>
      <c r="AC52" s="20"/>
    </row>
    <row r="53" spans="2:29" ht="15" customHeight="1" outlineLevel="1" x14ac:dyDescent="0.35">
      <c r="B53" s="65"/>
      <c r="C53" s="79"/>
      <c r="D53" s="80" t="s">
        <v>320</v>
      </c>
      <c r="E53" s="81" t="e">
        <f>HLOOKUP($E$6,DGbaseF2V!$A$76:$H$92,2,0)*$E$7</f>
        <v>#N/A</v>
      </c>
      <c r="F53" s="81"/>
      <c r="G53" s="81" t="e">
        <f>HLOOKUP($G$6,DGbaseF2V!$A$76:$H$92,2,0)*$G$7</f>
        <v>#N/A</v>
      </c>
      <c r="H53" s="82"/>
      <c r="I53" s="81" t="e">
        <f>HLOOKUP($I$6,DGbaseF2V!$A$76:$H$92,2,0)*$I$7</f>
        <v>#N/A</v>
      </c>
      <c r="J53" s="82"/>
      <c r="K53" s="83" t="e">
        <f>SUM(E53:I53)</f>
        <v>#N/A</v>
      </c>
      <c r="L53" s="65"/>
      <c r="M53" s="65"/>
      <c r="N53" s="20"/>
      <c r="O53" s="15"/>
      <c r="P53" s="15"/>
      <c r="Q53" s="15"/>
      <c r="R53" s="20"/>
      <c r="S53" s="20"/>
      <c r="T53" s="20"/>
      <c r="X53" s="20"/>
      <c r="Y53" s="20"/>
      <c r="Z53" s="20"/>
      <c r="AA53" s="20"/>
      <c r="AB53" s="20"/>
      <c r="AC53" s="20"/>
    </row>
    <row r="54" spans="2:29" ht="13.8" customHeight="1" outlineLevel="1" x14ac:dyDescent="0.35">
      <c r="B54" s="65"/>
      <c r="C54" s="79"/>
      <c r="D54" s="80" t="s">
        <v>337</v>
      </c>
      <c r="E54" s="81" t="e">
        <f>HLOOKUP($E$6,DGbaseF2V!$A$58:$H$74,2,0)*$E$7</f>
        <v>#N/A</v>
      </c>
      <c r="F54" s="81"/>
      <c r="G54" s="81">
        <f>HLOOKUP($G$6,DGbaseF2V!$A$58:$H$74,2,0)*$G$7</f>
        <v>-2.1575823600000001E-4</v>
      </c>
      <c r="H54" s="82"/>
      <c r="I54" s="81">
        <f>HLOOKUP($I$6,DGbaseF2V!$A$58:$H$74,2,0)*$I$7</f>
        <v>-1.4383882400000012E-4</v>
      </c>
      <c r="J54" s="82"/>
      <c r="K54" s="83" t="e">
        <f t="shared" si="0"/>
        <v>#N/A</v>
      </c>
      <c r="L54" s="65"/>
      <c r="M54" s="65"/>
      <c r="N54" s="20"/>
      <c r="O54" s="20"/>
      <c r="P54" s="84"/>
      <c r="Q54" s="20"/>
      <c r="R54" s="20"/>
      <c r="S54" s="20"/>
      <c r="T54" s="20"/>
      <c r="X54" s="20"/>
      <c r="Y54" s="20"/>
      <c r="Z54" s="20"/>
      <c r="AA54" s="20"/>
      <c r="AB54" s="20"/>
      <c r="AC54" s="20"/>
    </row>
    <row r="55" spans="2:29" ht="15" customHeight="1" outlineLevel="1" x14ac:dyDescent="0.35">
      <c r="B55" s="65"/>
      <c r="C55" s="79"/>
      <c r="D55" s="80" t="s">
        <v>321</v>
      </c>
      <c r="E55" s="81" t="e">
        <f>HLOOKUP($E$6,DGbaseF2V!$A$22:$H$38,2,0)*$E$7</f>
        <v>#N/A</v>
      </c>
      <c r="F55" s="81"/>
      <c r="G55" s="81" t="e">
        <f>HLOOKUP($G$6,DGbaseF2V!$A$22:$H$38,2,0)*$G$7</f>
        <v>#N/A</v>
      </c>
      <c r="H55" s="82"/>
      <c r="I55" s="81" t="e">
        <f>HLOOKUP($I$6,DGbaseF2V!$A$22:$H$38,2,0)*$I$7</f>
        <v>#N/A</v>
      </c>
      <c r="J55" s="82"/>
      <c r="K55" s="83" t="e">
        <f t="shared" si="0"/>
        <v>#N/A</v>
      </c>
      <c r="L55" s="65"/>
      <c r="M55" s="65"/>
      <c r="N55" s="20"/>
      <c r="O55" s="20"/>
      <c r="P55" s="21"/>
      <c r="Q55" s="20"/>
      <c r="R55" s="20"/>
      <c r="S55" s="20"/>
      <c r="T55" s="20"/>
      <c r="X55" s="20"/>
      <c r="Y55" s="20"/>
      <c r="Z55" s="20"/>
      <c r="AA55" s="20"/>
      <c r="AB55" s="20"/>
      <c r="AC55" s="20"/>
    </row>
    <row r="56" spans="2:29" ht="15" customHeight="1" outlineLevel="1" x14ac:dyDescent="0.35">
      <c r="B56" s="65"/>
      <c r="C56" s="79"/>
      <c r="D56" s="80" t="s">
        <v>322</v>
      </c>
      <c r="E56" s="81" t="s">
        <v>338</v>
      </c>
      <c r="F56" s="81"/>
      <c r="G56" s="81" t="s">
        <v>338</v>
      </c>
      <c r="H56" s="82"/>
      <c r="I56" s="81" t="s">
        <v>338</v>
      </c>
      <c r="J56" s="82"/>
      <c r="K56" s="81" t="s">
        <v>338</v>
      </c>
      <c r="L56" s="65"/>
      <c r="M56" s="65"/>
      <c r="N56" s="20"/>
      <c r="O56" s="20"/>
      <c r="P56" s="21"/>
      <c r="Q56" s="20"/>
      <c r="R56" s="20"/>
      <c r="S56" s="20"/>
      <c r="T56" s="20"/>
      <c r="X56" s="20"/>
      <c r="Y56" s="20"/>
      <c r="Z56" s="20"/>
      <c r="AA56" s="20"/>
      <c r="AB56" s="20"/>
      <c r="AC56" s="20"/>
    </row>
    <row r="57" spans="2:29" ht="15" customHeight="1" outlineLevel="1" x14ac:dyDescent="0.35">
      <c r="B57" s="65"/>
      <c r="C57" s="79"/>
      <c r="D57" s="80" t="s">
        <v>339</v>
      </c>
      <c r="E57" s="81">
        <f>HLOOKUP($E$6,DGbaseF2V!$A$40:$S$56,2,0)*$E$7</f>
        <v>0.31119044708333332</v>
      </c>
      <c r="F57" s="81"/>
      <c r="G57" s="81">
        <f>HLOOKUP($G$6,DGbaseF2V!$A$40:$S$56,2,0)*$G$7</f>
        <v>1.1978594400000001E-2</v>
      </c>
      <c r="H57" s="82"/>
      <c r="I57" s="81">
        <f>HLOOKUP($I$6,DGbaseF2V!$A$40:$S$56,2,0)*$I$7</f>
        <v>8.550384000000007E-4</v>
      </c>
      <c r="J57" s="82"/>
      <c r="K57" s="83">
        <f>SUM(E57:I57)</f>
        <v>0.32402407988333332</v>
      </c>
      <c r="L57" s="65"/>
      <c r="M57" s="65"/>
      <c r="N57" s="20"/>
      <c r="O57" s="20"/>
      <c r="P57" s="21"/>
      <c r="Q57" s="20"/>
      <c r="R57" s="20"/>
      <c r="S57" s="20"/>
      <c r="T57" s="20"/>
      <c r="X57" s="20"/>
      <c r="Y57" s="20"/>
      <c r="Z57" s="20"/>
      <c r="AA57" s="20"/>
      <c r="AB57" s="20"/>
      <c r="AC57" s="20"/>
    </row>
    <row r="58" spans="2:29" ht="15" customHeight="1" outlineLevel="1" x14ac:dyDescent="0.35">
      <c r="B58" s="65"/>
      <c r="C58" s="79"/>
      <c r="D58" s="85" t="s">
        <v>340</v>
      </c>
      <c r="E58" s="86">
        <f>IF($E$7="","",E48/(((1-$E$8)*'DGbase données'!$C$40)+($E$7*SUM('DGbase données'!$E$40,'DGbase données'!$G$40))))</f>
        <v>1.9454695493779973E-3</v>
      </c>
      <c r="F58" s="86"/>
      <c r="G58" s="86">
        <f>IF($E$7="","",G48/(((1-$E$8)*'DGbase données'!$C$40)+($E$7*SUM('DGbase données'!$E$40,'DGbase données'!$G$40))))</f>
        <v>1.2299821247994629E-4</v>
      </c>
      <c r="H58" s="87"/>
      <c r="I58" s="86">
        <f>IF($E$7="","",I48/(((1-$E$8)*'DGbase données'!$C$40)+($E$7*SUM('DGbase données'!$E$40,'DGbase données'!$G$40))))</f>
        <v>4.5507383896672179E-5</v>
      </c>
      <c r="J58" s="82"/>
      <c r="K58" s="88">
        <f>(K51+K52)/(2*'DGbase données'!I40*$E$3)</f>
        <v>0.5</v>
      </c>
      <c r="L58" s="89" t="s">
        <v>341</v>
      </c>
      <c r="M58" s="65"/>
      <c r="N58" s="20"/>
      <c r="O58" s="20"/>
      <c r="P58" s="21"/>
      <c r="Q58" s="20"/>
      <c r="R58" s="20"/>
      <c r="S58" s="20"/>
      <c r="T58" s="20"/>
      <c r="X58" s="20"/>
      <c r="Y58" s="20"/>
      <c r="Z58" s="20"/>
      <c r="AA58" s="20"/>
      <c r="AB58" s="20"/>
      <c r="AC58" s="20"/>
    </row>
    <row r="59" spans="2:29" ht="15" customHeight="1" x14ac:dyDescent="0.35">
      <c r="B59" s="65"/>
      <c r="C59" s="90"/>
      <c r="D59" s="91"/>
      <c r="E59" s="92"/>
      <c r="F59" s="92"/>
      <c r="G59" s="92"/>
      <c r="H59" s="93"/>
      <c r="I59" s="92"/>
      <c r="J59" s="93"/>
      <c r="K59" s="94"/>
      <c r="L59" s="65"/>
      <c r="M59" s="65"/>
      <c r="N59" s="20"/>
      <c r="O59" s="20"/>
      <c r="P59" s="21"/>
      <c r="Q59" s="20"/>
      <c r="R59" s="20"/>
      <c r="S59" s="20"/>
      <c r="T59" s="20"/>
      <c r="X59" s="20"/>
      <c r="Y59" s="20"/>
      <c r="Z59" s="20"/>
      <c r="AA59" s="20"/>
      <c r="AB59" s="20"/>
      <c r="AC59" s="20"/>
    </row>
    <row r="60" spans="2:29" ht="3" customHeight="1" x14ac:dyDescent="0.35">
      <c r="B60" s="20"/>
      <c r="C60" s="95"/>
      <c r="D60" s="96"/>
      <c r="E60" s="97"/>
      <c r="F60" s="97"/>
      <c r="G60" s="97"/>
      <c r="H60" s="98"/>
      <c r="I60" s="97"/>
      <c r="J60" s="98"/>
      <c r="K60" s="99"/>
      <c r="L60" s="20"/>
      <c r="M60" s="20"/>
      <c r="N60" s="20"/>
      <c r="O60" s="20"/>
      <c r="P60" s="21"/>
      <c r="Q60" s="20"/>
      <c r="R60" s="20"/>
      <c r="S60" s="20"/>
      <c r="T60" s="20"/>
      <c r="X60" s="20"/>
      <c r="Y60" s="20"/>
      <c r="Z60" s="20"/>
      <c r="AA60" s="20"/>
      <c r="AB60" s="20"/>
      <c r="AC60" s="20"/>
    </row>
    <row r="61" spans="2:29" ht="18" x14ac:dyDescent="0.35">
      <c r="B61" s="74"/>
      <c r="C61" s="75" t="s">
        <v>328</v>
      </c>
      <c r="D61" s="100" t="s">
        <v>342</v>
      </c>
      <c r="E61" s="77">
        <f>IF($I$19="yes",(SUM(E62,E63,E70)/$E$14),(SUM(E62:E68)/$E$14))</f>
        <v>8.923976664333335E-4</v>
      </c>
      <c r="F61" s="77"/>
      <c r="G61" s="77">
        <f>IF($I$19="yes",(SUM(G62,G63,G70)/$E$14),(SUM(G62:G68)/$E$14))</f>
        <v>9.2619021450000009E-5</v>
      </c>
      <c r="H61" s="78"/>
      <c r="I61" s="77">
        <f>IF($I$19="yes",(SUM(I62,I63,I70)/$E$14),(SUM(I62:I68)/$E$14))</f>
        <v>6.0659883030000049E-5</v>
      </c>
      <c r="J61" s="78"/>
      <c r="K61" s="77">
        <f>IF($I$19="yes",(SUM(K62,K63,K64,K65,K70)/$E$14),(SUM(K62:K68)/$E$14))</f>
        <v>5.4626575370913331E-2</v>
      </c>
      <c r="L61" s="77">
        <f>IF($I$19="yes",(SUM(K62,K63,K64,K65,K70)/1),(SUM(K62:K68)/1))</f>
        <v>1.0925315074182667</v>
      </c>
      <c r="M61" s="65"/>
      <c r="N61" s="20"/>
      <c r="O61" s="20"/>
      <c r="P61" s="21"/>
      <c r="Q61" s="20"/>
      <c r="R61" s="20"/>
      <c r="S61" s="20"/>
      <c r="T61" s="20"/>
      <c r="X61" s="20"/>
      <c r="Y61" s="20"/>
      <c r="Z61" s="20"/>
      <c r="AA61" s="20"/>
      <c r="AB61" s="20"/>
      <c r="AC61" s="20"/>
    </row>
    <row r="62" spans="2:29" ht="15" customHeight="1" outlineLevel="1" x14ac:dyDescent="0.35">
      <c r="B62" s="503"/>
      <c r="C62" s="90"/>
      <c r="D62" s="80" t="s">
        <v>13</v>
      </c>
      <c r="E62" s="81">
        <f>(1-$E$8)*HLOOKUP($E$6,'DGbase données'!$A$1:$S$17,5,0)*$E$7</f>
        <v>0</v>
      </c>
      <c r="F62" s="81"/>
      <c r="G62" s="81">
        <f>(1-$G$8)*HLOOKUP($G$6,'DGbase données'!$A$1:$S$17,5,0)*$G$7</f>
        <v>3.2456333999999996E-5</v>
      </c>
      <c r="H62" s="82"/>
      <c r="I62" s="81">
        <f>(1-$I$8)*HLOOKUP($I$6,'DGbase données'!$A$1:$S$17,5,0)*$I$7</f>
        <v>1.9967543600000016E-5</v>
      </c>
      <c r="J62" s="82"/>
      <c r="K62" s="83">
        <f>SUM(E62:I62)</f>
        <v>5.2423877600000012E-5</v>
      </c>
      <c r="L62" s="65"/>
      <c r="M62" s="65"/>
      <c r="N62" s="20"/>
      <c r="O62" s="20"/>
      <c r="P62" s="21"/>
      <c r="Q62" s="20"/>
      <c r="R62" s="20"/>
      <c r="S62" s="20"/>
      <c r="T62" s="20"/>
      <c r="X62" s="20"/>
      <c r="Y62" s="20"/>
      <c r="Z62" s="20"/>
      <c r="AA62" s="20"/>
      <c r="AB62" s="20"/>
      <c r="AC62" s="20"/>
    </row>
    <row r="63" spans="2:29" ht="15" customHeight="1" outlineLevel="1" x14ac:dyDescent="0.35">
      <c r="B63" s="504"/>
      <c r="C63" s="101"/>
      <c r="D63" s="80" t="s">
        <v>306</v>
      </c>
      <c r="E63" s="81">
        <f>$E$7*HLOOKUP($E$9,'DGbase données'!$A$19:$K$35,5,0)</f>
        <v>1.7083336050000002E-2</v>
      </c>
      <c r="F63" s="81"/>
      <c r="G63" s="81">
        <f>$G$7*HLOOKUP($G$9,'DGbase données'!$A$19:$K$35,5,0)</f>
        <v>1.7867257500000001E-3</v>
      </c>
      <c r="H63" s="82"/>
      <c r="I63" s="81">
        <f>$I$7*HLOOKUP($I$9,'DGbase données'!$A$19:$K$35,5,0)</f>
        <v>1.191150500000001E-3</v>
      </c>
      <c r="J63" s="82"/>
      <c r="K63" s="83">
        <f>SUM(E63:I63)</f>
        <v>2.0061212300000002E-2</v>
      </c>
      <c r="L63" s="65"/>
      <c r="M63" s="65"/>
      <c r="N63" s="20"/>
      <c r="O63" s="20"/>
      <c r="P63" s="21"/>
      <c r="Q63" s="20"/>
      <c r="R63" s="20"/>
      <c r="S63" s="20"/>
      <c r="T63" s="20"/>
      <c r="X63" s="20"/>
      <c r="Y63" s="20"/>
      <c r="Z63" s="20"/>
      <c r="AA63" s="20"/>
      <c r="AB63" s="20"/>
      <c r="AC63" s="20"/>
    </row>
    <row r="64" spans="2:29" ht="15" customHeight="1" outlineLevel="1" x14ac:dyDescent="0.35">
      <c r="B64" s="102"/>
      <c r="C64" s="90"/>
      <c r="D64" s="80" t="s">
        <v>312</v>
      </c>
      <c r="E64" s="81"/>
      <c r="F64" s="81"/>
      <c r="G64" s="81"/>
      <c r="H64" s="82"/>
      <c r="I64" s="81"/>
      <c r="J64" s="82"/>
      <c r="K64" s="83">
        <f>IF(ISBLANK($G$14),0,$E$3*HLOOKUP($G$14,'DGbase données'!$A$58:$G$74,5,0))</f>
        <v>1.071617976</v>
      </c>
      <c r="L64" s="65"/>
      <c r="M64" s="65"/>
      <c r="N64" s="20"/>
      <c r="O64" s="20"/>
      <c r="P64" s="21"/>
      <c r="Q64" s="20"/>
      <c r="R64" s="20"/>
      <c r="S64" s="20"/>
      <c r="T64" s="20"/>
      <c r="X64" s="20"/>
      <c r="Y64" s="20"/>
      <c r="Z64" s="20"/>
      <c r="AA64" s="20"/>
      <c r="AB64" s="20"/>
      <c r="AC64" s="20"/>
    </row>
    <row r="65" spans="2:29" ht="15" customHeight="1" outlineLevel="1" x14ac:dyDescent="0.35">
      <c r="B65" s="65"/>
      <c r="C65" s="90"/>
      <c r="D65" s="80" t="s">
        <v>314</v>
      </c>
      <c r="E65" s="81"/>
      <c r="F65" s="81"/>
      <c r="G65" s="81"/>
      <c r="H65" s="81"/>
      <c r="I65" s="81"/>
      <c r="J65" s="81"/>
      <c r="K65" s="83">
        <f>IF(($I$14=0),0,$E$3*HLOOKUP($I$14,'DGbase données'!$A$58:$G$74,5,0))</f>
        <v>0</v>
      </c>
      <c r="L65" s="65"/>
      <c r="M65" s="65"/>
      <c r="N65" s="20"/>
      <c r="O65" s="20"/>
      <c r="P65" s="21"/>
      <c r="Q65" s="20"/>
      <c r="R65" s="20"/>
      <c r="S65" s="20"/>
      <c r="T65" s="20"/>
    </row>
    <row r="66" spans="2:29" ht="15" customHeight="1" outlineLevel="1" x14ac:dyDescent="0.35">
      <c r="B66" s="65"/>
      <c r="C66" s="90"/>
      <c r="D66" s="80" t="s">
        <v>320</v>
      </c>
      <c r="E66" s="81" t="e">
        <f>HLOOKUP($E$6,DGbaseF2V!$A$76:$H$92,5,0)*$E$7</f>
        <v>#N/A</v>
      </c>
      <c r="F66" s="81"/>
      <c r="G66" s="81" t="e">
        <f>HLOOKUP($G$6,DGbaseF2V!$A$76:$H$92,5,0)*$G$7</f>
        <v>#N/A</v>
      </c>
      <c r="H66" s="82"/>
      <c r="I66" s="81" t="e">
        <f>HLOOKUP($I$6,DGbaseF2V!$A$76:$H$92,5,0)*$I$7</f>
        <v>#N/A</v>
      </c>
      <c r="J66" s="82"/>
      <c r="K66" s="83" t="e">
        <f>SUM(E66:I66)</f>
        <v>#N/A</v>
      </c>
      <c r="L66" s="65"/>
      <c r="M66" s="65"/>
      <c r="N66" s="20"/>
      <c r="O66" s="20"/>
      <c r="P66" s="21"/>
      <c r="Q66" s="20"/>
      <c r="R66" s="20"/>
      <c r="S66" s="20"/>
      <c r="T66" s="20"/>
      <c r="X66" s="20"/>
      <c r="Y66" s="20"/>
      <c r="Z66" s="20"/>
      <c r="AA66" s="20"/>
      <c r="AB66" s="20"/>
      <c r="AC66" s="20"/>
    </row>
    <row r="67" spans="2:29" ht="15" customHeight="1" outlineLevel="1" x14ac:dyDescent="0.35">
      <c r="B67" s="65"/>
      <c r="C67" s="90"/>
      <c r="D67" s="80" t="s">
        <v>337</v>
      </c>
      <c r="E67" s="81" t="e">
        <f>HLOOKUP($E$6,DGbaseF2V!$A$58:$H$74,5,0)*$E$7</f>
        <v>#N/A</v>
      </c>
      <c r="F67" s="81"/>
      <c r="G67" s="81">
        <f>HLOOKUP($G$6,DGbaseF2V!$A$58:$H$74,5,0)*$G$7</f>
        <v>-5.7642216000000002E-7</v>
      </c>
      <c r="H67" s="82"/>
      <c r="I67" s="81">
        <f>HLOOKUP($I$6,DGbaseF2V!$A$58:$H$74,5,0)*$I$7</f>
        <v>-3.8428144000000035E-7</v>
      </c>
      <c r="J67" s="82"/>
      <c r="K67" s="83" t="e">
        <f t="shared" ref="K67:K68" si="1">SUM(E67:I67)</f>
        <v>#N/A</v>
      </c>
      <c r="L67" s="65"/>
      <c r="M67" s="65"/>
      <c r="N67" s="20"/>
      <c r="O67" s="20"/>
      <c r="P67" s="21"/>
      <c r="Q67" s="20"/>
      <c r="R67" s="20"/>
      <c r="S67" s="20"/>
      <c r="T67" s="20"/>
      <c r="X67" s="20"/>
      <c r="Y67" s="20"/>
      <c r="Z67" s="20"/>
      <c r="AA67" s="20"/>
      <c r="AB67" s="20"/>
      <c r="AC67" s="20"/>
    </row>
    <row r="68" spans="2:29" ht="15" customHeight="1" outlineLevel="1" x14ac:dyDescent="0.35">
      <c r="B68" s="65"/>
      <c r="C68" s="90"/>
      <c r="D68" s="80" t="s">
        <v>321</v>
      </c>
      <c r="E68" s="81" t="e">
        <f>HLOOKUP($E$6,DGbaseF2V!$A$22:$H$38,5,0)*$E$7</f>
        <v>#N/A</v>
      </c>
      <c r="F68" s="81"/>
      <c r="G68" s="81" t="e">
        <f>HLOOKUP($G$6,DGbaseF2V!$A$22:$H$38,5,0)*$G$7</f>
        <v>#N/A</v>
      </c>
      <c r="H68" s="82"/>
      <c r="I68" s="81">
        <f>HLOOKUP($I$6,DGbaseF2V!$A$22:$H$38,5,0)*$I$7</f>
        <v>2.0796170000000019E-6</v>
      </c>
      <c r="J68" s="82"/>
      <c r="K68" s="83" t="e">
        <f t="shared" si="1"/>
        <v>#N/A</v>
      </c>
      <c r="L68" s="65"/>
      <c r="M68" s="65"/>
      <c r="N68" s="20"/>
      <c r="O68" s="20"/>
      <c r="P68" s="21"/>
      <c r="Q68" s="20"/>
      <c r="R68" s="20"/>
      <c r="S68" s="20"/>
      <c r="T68" s="20"/>
      <c r="X68" s="20"/>
      <c r="Y68" s="20"/>
      <c r="Z68" s="20"/>
      <c r="AA68" s="20"/>
      <c r="AB68" s="20"/>
      <c r="AC68" s="20"/>
    </row>
    <row r="69" spans="2:29" ht="15" customHeight="1" outlineLevel="1" x14ac:dyDescent="0.35">
      <c r="B69" s="65"/>
      <c r="C69" s="90"/>
      <c r="D69" s="80" t="s">
        <v>322</v>
      </c>
      <c r="E69" s="81" t="s">
        <v>338</v>
      </c>
      <c r="F69" s="81"/>
      <c r="G69" s="81" t="s">
        <v>338</v>
      </c>
      <c r="H69" s="82"/>
      <c r="I69" s="81" t="s">
        <v>338</v>
      </c>
      <c r="J69" s="82"/>
      <c r="K69" s="81" t="s">
        <v>338</v>
      </c>
      <c r="L69" s="65"/>
      <c r="M69" s="65"/>
      <c r="N69" s="20"/>
      <c r="O69" s="20"/>
      <c r="P69" s="21"/>
      <c r="Q69" s="20"/>
      <c r="R69" s="20"/>
      <c r="S69" s="20"/>
      <c r="T69" s="20"/>
      <c r="X69" s="20"/>
      <c r="Y69" s="20"/>
      <c r="Z69" s="20"/>
      <c r="AA69" s="20"/>
      <c r="AB69" s="20"/>
      <c r="AC69" s="20"/>
    </row>
    <row r="70" spans="2:29" ht="15" customHeight="1" outlineLevel="1" x14ac:dyDescent="0.35">
      <c r="B70" s="65"/>
      <c r="C70" s="90"/>
      <c r="D70" s="80" t="s">
        <v>339</v>
      </c>
      <c r="E70" s="81">
        <f>HLOOKUP($E$6,DGbaseF2V!$A$40:$S$56,5,0)*$E$7</f>
        <v>7.6461727866666666E-4</v>
      </c>
      <c r="F70" s="81"/>
      <c r="G70" s="81">
        <f>HLOOKUP($G$6,DGbaseF2V!$A$40:$S$56,5,0)*$G$7</f>
        <v>3.3198345E-5</v>
      </c>
      <c r="H70" s="82"/>
      <c r="I70" s="81">
        <f>HLOOKUP($I$6,DGbaseF2V!$A$40:$S$56,5,0)*$I$7</f>
        <v>2.0796170000000019E-6</v>
      </c>
      <c r="J70" s="82"/>
      <c r="K70" s="83">
        <f>SUM(E70:I70)</f>
        <v>7.9989524066666673E-4</v>
      </c>
      <c r="L70" s="65"/>
      <c r="M70" s="65"/>
      <c r="N70" s="20"/>
      <c r="O70" s="20"/>
      <c r="P70" s="21"/>
      <c r="Q70" s="20"/>
      <c r="R70" s="20"/>
      <c r="S70" s="20"/>
      <c r="T70" s="20"/>
      <c r="X70" s="20"/>
      <c r="Y70" s="20"/>
      <c r="Z70" s="20"/>
      <c r="AA70" s="20"/>
      <c r="AB70" s="20"/>
      <c r="AC70" s="20"/>
    </row>
    <row r="71" spans="2:29" ht="15" customHeight="1" outlineLevel="1" x14ac:dyDescent="0.35">
      <c r="B71" s="65"/>
      <c r="C71" s="90"/>
      <c r="D71" s="85" t="s">
        <v>340</v>
      </c>
      <c r="E71" s="86">
        <f>IF($E$7="","",E61/(((1-$E$8)*'DGbase données'!$C$43)+($E$7*SUM('DGbase données'!$E$43,'DGbase données'!$G$43))))</f>
        <v>4.9203389679247696E-3</v>
      </c>
      <c r="F71" s="86"/>
      <c r="G71" s="86">
        <f>IF($E$7="","",G61/(((1-$E$8)*'DGbase données'!$C$43)+($E$7*SUM('DGbase données'!$E$43,'DGbase données'!$G$43))))</f>
        <v>5.1066581363090038E-4</v>
      </c>
      <c r="H71" s="87"/>
      <c r="I71" s="86">
        <f>IF($E$7="","",I61/(((1-$E$8)*'DGbase données'!$C$43)+($E$7*SUM('DGbase données'!$E$43,'DGbase données'!$G$43))))</f>
        <v>3.3445536389080713E-4</v>
      </c>
      <c r="J71" s="103"/>
      <c r="K71" s="88">
        <f>(K64+K65)/(2*'DGbase données'!I43*$E$3)</f>
        <v>0.5</v>
      </c>
      <c r="L71" s="89" t="s">
        <v>341</v>
      </c>
      <c r="M71" s="65"/>
      <c r="N71" s="20"/>
      <c r="O71" s="20"/>
      <c r="P71" s="21"/>
      <c r="Q71" s="20"/>
      <c r="R71" s="20"/>
      <c r="S71" s="20"/>
      <c r="T71" s="20"/>
      <c r="X71" s="20"/>
      <c r="Y71" s="20"/>
      <c r="Z71" s="20"/>
      <c r="AA71" s="20"/>
      <c r="AB71" s="20"/>
      <c r="AC71" s="20"/>
    </row>
    <row r="72" spans="2:29" ht="15" customHeight="1" x14ac:dyDescent="0.35">
      <c r="B72" s="65"/>
      <c r="C72" s="90"/>
      <c r="D72" s="85"/>
      <c r="E72" s="104"/>
      <c r="F72" s="104"/>
      <c r="G72" s="104"/>
      <c r="H72" s="103"/>
      <c r="I72" s="104"/>
      <c r="J72" s="103"/>
      <c r="K72" s="104"/>
      <c r="L72" s="65"/>
      <c r="M72" s="65"/>
      <c r="N72" s="20"/>
      <c r="O72" s="20"/>
      <c r="P72" s="21"/>
      <c r="Q72" s="20"/>
      <c r="R72" s="20"/>
      <c r="S72" s="20"/>
      <c r="T72" s="20"/>
      <c r="X72" s="20"/>
      <c r="Y72" s="20"/>
      <c r="Z72" s="20"/>
      <c r="AA72" s="20"/>
      <c r="AB72" s="20"/>
      <c r="AC72" s="20"/>
    </row>
    <row r="73" spans="2:29" s="20" customFormat="1" ht="3" customHeight="1" x14ac:dyDescent="0.35">
      <c r="C73" s="95"/>
      <c r="D73" s="105"/>
      <c r="E73" s="106"/>
      <c r="F73" s="106"/>
      <c r="G73" s="106"/>
      <c r="H73" s="107"/>
      <c r="I73" s="106"/>
      <c r="J73" s="107"/>
      <c r="K73" s="106"/>
      <c r="P73" s="21"/>
    </row>
    <row r="74" spans="2:29" ht="25.05" customHeight="1" x14ac:dyDescent="0.35">
      <c r="B74" s="65"/>
      <c r="C74" s="75" t="s">
        <v>329</v>
      </c>
      <c r="D74" s="100" t="s">
        <v>343</v>
      </c>
      <c r="E74" s="77">
        <f>IF($I$19="yes",(SUM(E75,E76,E83)/$E$14),(SUM(E75:E81)/$E$14))</f>
        <v>4.2215101827083335E-10</v>
      </c>
      <c r="F74" s="77"/>
      <c r="G74" s="77">
        <f>IF($I$19="yes",(SUM(G75,G76,G83)/$E$14),(SUM(G75:G81)/$E$14))</f>
        <v>3.2411147835E-11</v>
      </c>
      <c r="H74" s="78"/>
      <c r="I74" s="77">
        <f>IF($I$19="yes",(SUM(I75,I76,I83)/$E$14),(SUM(I75:I81)/$E$14))</f>
        <v>1.6389576840000014E-11</v>
      </c>
      <c r="J74" s="78"/>
      <c r="K74" s="77">
        <f>IF($I$19="yes",(SUM(K75,K76,,K77,K78,K83)/$E$14),(SUM(K75:K81)/$E$14))</f>
        <v>1.1881456599458335E-9</v>
      </c>
      <c r="L74" s="77">
        <f>IF($I$19="yes",(SUM(K75,K76,K77,K78,K83)/1),(SUM(K75:K81)/1))</f>
        <v>2.3762913198916669E-8</v>
      </c>
      <c r="M74" s="65"/>
      <c r="N74" s="20"/>
      <c r="O74" s="20"/>
      <c r="P74" s="21"/>
      <c r="Q74" s="20"/>
      <c r="R74" s="20"/>
      <c r="S74" s="20"/>
      <c r="T74" s="20"/>
      <c r="X74" s="20"/>
      <c r="Y74" s="20"/>
      <c r="Z74" s="20"/>
      <c r="AA74" s="20"/>
      <c r="AB74" s="20"/>
      <c r="AC74" s="20"/>
    </row>
    <row r="75" spans="2:29" ht="15" customHeight="1" outlineLevel="1" x14ac:dyDescent="0.35">
      <c r="B75" s="65"/>
      <c r="C75" s="90"/>
      <c r="D75" s="80" t="s">
        <v>13</v>
      </c>
      <c r="E75" s="92">
        <f>(1-$E$8)*HLOOKUP($E$6,'DGbase données'!$A$1:$S$17,6,0)*$E$7</f>
        <v>0</v>
      </c>
      <c r="F75" s="92"/>
      <c r="G75" s="92">
        <f>(1-$G$8)*HLOOKUP($G$6,'DGbase données'!$A$1:$S$17,6,0)*$G$7</f>
        <v>3.0716514E-10</v>
      </c>
      <c r="H75" s="93"/>
      <c r="I75" s="92">
        <f>(1-$I$8)*HLOOKUP($I$6,'DGbase données'!$A$1:$S$17,6,0)*$I$7</f>
        <v>2.9236616000000026E-10</v>
      </c>
      <c r="J75" s="93"/>
      <c r="K75" s="94">
        <f>SUM(E75:I75)</f>
        <v>5.9953130000000031E-10</v>
      </c>
      <c r="L75" s="65"/>
      <c r="M75" s="65"/>
      <c r="N75" s="20"/>
      <c r="O75" s="20"/>
      <c r="P75" s="21"/>
      <c r="Q75" s="20"/>
      <c r="R75" s="20"/>
      <c r="S75" s="20"/>
      <c r="T75" s="20"/>
      <c r="X75" s="20"/>
      <c r="Y75" s="20"/>
      <c r="Z75" s="20"/>
      <c r="AA75" s="20"/>
      <c r="AB75" s="20"/>
      <c r="AC75" s="20"/>
    </row>
    <row r="76" spans="2:29" ht="15" customHeight="1" outlineLevel="1" x14ac:dyDescent="0.35">
      <c r="B76" s="65"/>
      <c r="C76" s="90"/>
      <c r="D76" s="80" t="s">
        <v>306</v>
      </c>
      <c r="E76" s="92">
        <f>$E$7*HLOOKUP($E$9,'DGbase données'!$A$19:$K$35,6,0)</f>
        <v>4.18674025E-10</v>
      </c>
      <c r="F76" s="92"/>
      <c r="G76" s="92">
        <f>$G$7*HLOOKUP($G$9,'DGbase données'!$A$19:$K$35,6,0)</f>
        <v>2.8903856699999998E-11</v>
      </c>
      <c r="H76" s="93"/>
      <c r="I76" s="92">
        <f>$I$7*HLOOKUP($I$9,'DGbase données'!$A$19:$K$35,6,0)</f>
        <v>1.9269237800000014E-11</v>
      </c>
      <c r="J76" s="93"/>
      <c r="K76" s="94">
        <f>SUM(E76:I76)</f>
        <v>4.6684711950000002E-10</v>
      </c>
      <c r="L76" s="65"/>
      <c r="M76" s="65"/>
      <c r="N76" s="20"/>
      <c r="O76" s="20"/>
      <c r="P76" s="21"/>
      <c r="Q76" s="20"/>
      <c r="R76" s="20"/>
      <c r="S76" s="20"/>
      <c r="T76" s="20"/>
      <c r="X76" s="20"/>
      <c r="Y76" s="20"/>
      <c r="Z76" s="20"/>
      <c r="AA76" s="20"/>
      <c r="AB76" s="20"/>
      <c r="AC76" s="20"/>
    </row>
    <row r="77" spans="2:29" ht="15" customHeight="1" outlineLevel="1" x14ac:dyDescent="0.35">
      <c r="B77" s="65"/>
      <c r="C77" s="90"/>
      <c r="D77" s="80" t="s">
        <v>312</v>
      </c>
      <c r="E77" s="108"/>
      <c r="F77" s="108"/>
      <c r="G77" s="92"/>
      <c r="H77" s="93"/>
      <c r="I77" s="92"/>
      <c r="J77" s="93"/>
      <c r="K77" s="83">
        <f>IF(ISBLANK($G$14),0,$E$3*HLOOKUP($G$14,'DGbase données'!$A$58:$G$74,6,0))</f>
        <v>1.4343878340000001E-8</v>
      </c>
      <c r="L77" s="65"/>
      <c r="M77" s="65"/>
      <c r="N77" s="20"/>
      <c r="O77" s="20"/>
      <c r="P77" s="21"/>
      <c r="Q77" s="20"/>
      <c r="R77" s="20"/>
      <c r="S77" s="20"/>
      <c r="T77" s="20"/>
      <c r="X77" s="20"/>
      <c r="Y77" s="20"/>
      <c r="Z77" s="20"/>
      <c r="AA77" s="20"/>
      <c r="AB77" s="20"/>
      <c r="AC77" s="20"/>
    </row>
    <row r="78" spans="2:29" ht="15" customHeight="1" outlineLevel="1" x14ac:dyDescent="0.35">
      <c r="B78" s="65"/>
      <c r="C78" s="90"/>
      <c r="D78" s="80" t="s">
        <v>314</v>
      </c>
      <c r="E78" s="108"/>
      <c r="F78" s="108"/>
      <c r="G78" s="92"/>
      <c r="H78" s="92"/>
      <c r="I78" s="92"/>
      <c r="J78" s="92"/>
      <c r="K78" s="83">
        <f>IF(($I$14=0),0,$E$3*HLOOKUP($I$14,'DGbase données'!$A$58:$G$74,6,0))</f>
        <v>0</v>
      </c>
      <c r="L78" s="65"/>
      <c r="M78" s="65"/>
      <c r="N78" s="20"/>
      <c r="O78" s="20"/>
      <c r="P78" s="21"/>
      <c r="Q78" s="20"/>
      <c r="R78" s="20"/>
      <c r="S78" s="20"/>
      <c r="T78" s="20"/>
      <c r="X78" s="20"/>
      <c r="Y78" s="20"/>
      <c r="Z78" s="20"/>
      <c r="AA78" s="20"/>
      <c r="AB78" s="20"/>
      <c r="AC78" s="20"/>
    </row>
    <row r="79" spans="2:29" ht="15" customHeight="1" outlineLevel="1" x14ac:dyDescent="0.35">
      <c r="B79" s="65"/>
      <c r="C79" s="90"/>
      <c r="D79" s="80" t="s">
        <v>320</v>
      </c>
      <c r="E79" s="92" t="e">
        <f>HLOOKUP($E$6,DGbaseF2V!$A$76:$H$92,6,0)*$E$7</f>
        <v>#N/A</v>
      </c>
      <c r="F79" s="92"/>
      <c r="G79" s="92" t="e">
        <f>$G$24*HLOOKUP($G$6,DGbaseF2V!$A$76:$H$92,6,0)*$G$7</f>
        <v>#N/A</v>
      </c>
      <c r="H79" s="93"/>
      <c r="I79" s="92" t="e">
        <f>$I$24*HLOOKUP($I$6,DGbaseF2V!$A$76:$H$92,6,0)*$I$7</f>
        <v>#N/A</v>
      </c>
      <c r="J79" s="93"/>
      <c r="K79" s="94" t="e">
        <f>SUM(E79:I79)</f>
        <v>#N/A</v>
      </c>
      <c r="L79" s="65"/>
      <c r="M79" s="65"/>
      <c r="N79" s="20"/>
      <c r="O79" s="20"/>
      <c r="P79" s="21"/>
      <c r="Q79" s="20"/>
      <c r="R79" s="20"/>
      <c r="S79" s="20"/>
      <c r="T79" s="20"/>
      <c r="X79" s="20"/>
      <c r="Y79" s="20"/>
      <c r="Z79" s="20"/>
      <c r="AA79" s="20"/>
      <c r="AB79" s="20"/>
      <c r="AC79" s="20"/>
    </row>
    <row r="80" spans="2:29" ht="15" customHeight="1" outlineLevel="1" x14ac:dyDescent="0.35">
      <c r="B80" s="65"/>
      <c r="C80" s="90"/>
      <c r="D80" s="80" t="s">
        <v>337</v>
      </c>
      <c r="E80" s="92" t="e">
        <f>HLOOKUP($E$6,DGbaseF2V!$A$58:$H$74,6,0)*$E$7</f>
        <v>#N/A</v>
      </c>
      <c r="F80" s="92"/>
      <c r="G80" s="92">
        <f>HLOOKUP($G$6,DGbaseF2V!$A$58:$H$74,6,0)*$G$7</f>
        <v>-6.6417468000000001E-11</v>
      </c>
      <c r="H80" s="93"/>
      <c r="I80" s="92">
        <f>HLOOKUP($I$6,DGbaseF2V!$A$58:$H$74,6,0)*$I$7</f>
        <v>-4.4278312000000041E-11</v>
      </c>
      <c r="J80" s="93"/>
      <c r="K80" s="94" t="e">
        <f t="shared" ref="K80:K81" si="2">SUM(E80:I80)</f>
        <v>#N/A</v>
      </c>
      <c r="L80" s="65"/>
      <c r="M80" s="65"/>
      <c r="N80" s="20"/>
      <c r="O80" s="20"/>
      <c r="P80" s="21"/>
      <c r="Q80" s="20"/>
      <c r="R80" s="20"/>
      <c r="S80" s="20"/>
      <c r="T80" s="20"/>
      <c r="X80" s="20"/>
      <c r="Y80" s="20"/>
      <c r="Z80" s="20"/>
      <c r="AA80" s="20"/>
      <c r="AB80" s="20"/>
      <c r="AC80" s="20"/>
    </row>
    <row r="81" spans="2:29" ht="15" customHeight="1" outlineLevel="1" x14ac:dyDescent="0.35">
      <c r="B81" s="65"/>
      <c r="C81" s="90"/>
      <c r="D81" s="80" t="s">
        <v>321</v>
      </c>
      <c r="E81" s="92" t="e">
        <f>HLOOKUP($E$6,DGbaseF2V!$A$22:$H$38,6,0)*$E$7</f>
        <v>#N/A</v>
      </c>
      <c r="F81" s="92"/>
      <c r="G81" s="92" t="e">
        <f>$G$25*HLOOKUP($G$6,DGbaseF2V!$A$22:$H$38,6,0)*$G$7</f>
        <v>#N/A</v>
      </c>
      <c r="H81" s="93"/>
      <c r="I81" s="92">
        <f>$I$25*HLOOKUP($I$6,DGbaseF2V!$A$22:$H$38,6,0)*$I$7</f>
        <v>1.1309297300000009E-11</v>
      </c>
      <c r="J81" s="93"/>
      <c r="K81" s="94" t="e">
        <f t="shared" si="2"/>
        <v>#N/A</v>
      </c>
      <c r="L81" s="65"/>
      <c r="M81" s="65"/>
      <c r="N81" s="20"/>
      <c r="O81" s="20"/>
      <c r="P81" s="21"/>
      <c r="Q81" s="20"/>
      <c r="R81" s="20"/>
      <c r="S81" s="20"/>
      <c r="T81" s="20"/>
      <c r="X81" s="20"/>
      <c r="Y81" s="20"/>
      <c r="Z81" s="20"/>
      <c r="AA81" s="20"/>
      <c r="AB81" s="20"/>
      <c r="AC81" s="20"/>
    </row>
    <row r="82" spans="2:29" ht="15" customHeight="1" outlineLevel="1" x14ac:dyDescent="0.35">
      <c r="B82" s="65"/>
      <c r="C82" s="90"/>
      <c r="D82" s="80" t="s">
        <v>322</v>
      </c>
      <c r="E82" s="92" t="s">
        <v>338</v>
      </c>
      <c r="F82" s="92"/>
      <c r="G82" s="92" t="s">
        <v>338</v>
      </c>
      <c r="H82" s="93"/>
      <c r="I82" s="92" t="s">
        <v>338</v>
      </c>
      <c r="J82" s="93"/>
      <c r="K82" s="92" t="s">
        <v>338</v>
      </c>
      <c r="L82" s="65"/>
      <c r="M82" s="65"/>
      <c r="N82" s="20"/>
      <c r="O82" s="20"/>
      <c r="P82" s="21"/>
      <c r="Q82" s="20"/>
      <c r="R82" s="20"/>
      <c r="S82" s="20"/>
      <c r="T82" s="20"/>
      <c r="X82" s="20"/>
      <c r="Y82" s="20"/>
      <c r="Z82" s="20"/>
      <c r="AA82" s="20"/>
      <c r="AB82" s="20"/>
      <c r="AC82" s="20"/>
    </row>
    <row r="83" spans="2:29" ht="15" customHeight="1" outlineLevel="1" x14ac:dyDescent="0.35">
      <c r="B83" s="65"/>
      <c r="C83" s="90"/>
      <c r="D83" s="80" t="s">
        <v>339</v>
      </c>
      <c r="E83" s="81">
        <f>HLOOKUP($E$6,DGbaseF2V!$A$40:$S$56,6,0)*$E$7</f>
        <v>8.0243463404166676E-9</v>
      </c>
      <c r="F83" s="81"/>
      <c r="G83" s="81">
        <f>HLOOKUP($G$6,DGbaseF2V!$A$40:$S$56,6,0)*$G$7</f>
        <v>3.1215396000000001E-10</v>
      </c>
      <c r="H83" s="82"/>
      <c r="I83" s="81">
        <f>HLOOKUP($I$6,DGbaseF2V!$A$40:$S$56,6,0)*$I$7</f>
        <v>1.6156139000000016E-11</v>
      </c>
      <c r="J83" s="82"/>
      <c r="K83" s="83">
        <f>SUM(E83:I83)</f>
        <v>8.3526564394166667E-9</v>
      </c>
      <c r="L83" s="65"/>
      <c r="M83" s="65"/>
      <c r="N83" s="20"/>
      <c r="O83" s="20"/>
      <c r="P83" s="21"/>
      <c r="Q83" s="20"/>
      <c r="R83" s="20"/>
      <c r="S83" s="20"/>
      <c r="T83" s="20"/>
      <c r="X83" s="20"/>
      <c r="Y83" s="20"/>
      <c r="Z83" s="20"/>
      <c r="AA83" s="20"/>
      <c r="AB83" s="20"/>
      <c r="AC83" s="20"/>
    </row>
    <row r="84" spans="2:29" ht="15" customHeight="1" outlineLevel="1" x14ac:dyDescent="0.35">
      <c r="B84" s="65"/>
      <c r="C84" s="90"/>
      <c r="D84" s="80" t="s">
        <v>340</v>
      </c>
      <c r="E84" s="104">
        <f>IF($E$7="","",E74/(((1-$E$8)*'DGbase données'!$C$44)+($E$7*SUM('DGbase données'!$E$44,'DGbase données'!$G$44))))</f>
        <v>3.6826428483918011E-4</v>
      </c>
      <c r="F84" s="104"/>
      <c r="G84" s="104">
        <f>IF($E$7="","",G74/(((1-$E$8)*'DGbase données'!$C$44)+($E$7*SUM('DGbase données'!$E$44,'DGbase données'!$G$44))))</f>
        <v>2.827392961685501E-5</v>
      </c>
      <c r="H84" s="103"/>
      <c r="I84" s="104">
        <f>IF($E$7="","",I74/(((1-$E$8)*'DGbase données'!$C$44)+($E$7*SUM('DGbase données'!$E$44,'DGbase données'!$G$44))))</f>
        <v>1.4297480125766651E-5</v>
      </c>
      <c r="J84" s="103"/>
      <c r="K84" s="88">
        <f>(K77+K78)/(2*'DGbase données'!I44*$E$3)</f>
        <v>0.5</v>
      </c>
      <c r="L84" s="89" t="s">
        <v>341</v>
      </c>
      <c r="M84" s="65"/>
      <c r="N84" s="20"/>
      <c r="O84" s="20"/>
      <c r="P84" s="21"/>
      <c r="Q84" s="20"/>
      <c r="R84" s="20"/>
      <c r="S84" s="20"/>
      <c r="T84" s="20"/>
      <c r="X84" s="20"/>
      <c r="Y84" s="20"/>
      <c r="Z84" s="20"/>
      <c r="AA84" s="20"/>
      <c r="AB84" s="20"/>
      <c r="AC84" s="20"/>
    </row>
    <row r="85" spans="2:29" ht="15" customHeight="1" x14ac:dyDescent="0.35">
      <c r="B85" s="65"/>
      <c r="C85" s="90"/>
      <c r="D85" s="85"/>
      <c r="E85" s="109"/>
      <c r="F85" s="109"/>
      <c r="G85" s="109"/>
      <c r="H85" s="110"/>
      <c r="I85" s="109"/>
      <c r="J85" s="110"/>
      <c r="K85" s="109"/>
      <c r="L85" s="65"/>
      <c r="M85" s="65"/>
      <c r="N85" s="20"/>
      <c r="O85" s="20"/>
      <c r="P85" s="21"/>
      <c r="Q85" s="20"/>
      <c r="R85" s="20"/>
      <c r="S85" s="20"/>
      <c r="T85" s="20"/>
      <c r="X85" s="20"/>
      <c r="Y85" s="20"/>
      <c r="Z85" s="20"/>
      <c r="AA85" s="20"/>
      <c r="AB85" s="20"/>
      <c r="AC85" s="20"/>
    </row>
    <row r="86" spans="2:29" ht="3" customHeight="1" x14ac:dyDescent="0.35">
      <c r="B86" s="20"/>
      <c r="C86" s="95"/>
      <c r="D86" s="95"/>
      <c r="E86" s="95"/>
      <c r="F86" s="95"/>
      <c r="G86" s="95"/>
      <c r="H86" s="95"/>
      <c r="I86" s="95"/>
      <c r="J86" s="95"/>
      <c r="K86" s="111"/>
      <c r="L86" s="20"/>
      <c r="M86" s="20"/>
      <c r="N86" s="20"/>
      <c r="O86" s="20"/>
      <c r="P86" s="21"/>
      <c r="Q86" s="20"/>
      <c r="R86" s="20"/>
      <c r="S86" s="20"/>
      <c r="T86" s="20"/>
      <c r="X86" s="20"/>
      <c r="Y86" s="20"/>
      <c r="Z86" s="20"/>
      <c r="AA86" s="20"/>
      <c r="AB86" s="20"/>
      <c r="AC86" s="20"/>
    </row>
    <row r="87" spans="2:29" ht="25.05" customHeight="1" x14ac:dyDescent="0.35">
      <c r="B87" s="65"/>
      <c r="C87" s="75" t="s">
        <v>330</v>
      </c>
      <c r="D87" s="100" t="s">
        <v>344</v>
      </c>
      <c r="E87" s="77">
        <f>IF($I$19="yes",(SUM(E88,E89,E96)/$E$14),(SUM(E88:E94)/$E$14))</f>
        <v>4.5583267048333337E-5</v>
      </c>
      <c r="F87" s="77"/>
      <c r="G87" s="77">
        <f>IF($I$19="yes",(SUM(G88,G89,G96)/$E$14),(SUM(G88:G94)/$E$14))</f>
        <v>3.679324305E-6</v>
      </c>
      <c r="H87" s="78"/>
      <c r="I87" s="77">
        <f>IF($I$19="yes",(SUM(I88,I89,I96)/$E$14),(SUM(I88:I94)/$E$14))</f>
        <v>1.8254311100000014E-6</v>
      </c>
      <c r="J87" s="78"/>
      <c r="K87" s="77">
        <f>IF($I$19="yes",(SUM(K88,K89,K90,K91,K96)/$E$14),(SUM(K88:K94)/$E$14))</f>
        <v>2.5988236206333338E-4</v>
      </c>
      <c r="L87" s="77">
        <f>IF($I$19="yes",(SUM(K88,K89,K90,K91,K96)/1),(SUM(K88:K94)/1))</f>
        <v>5.1976472412666678E-3</v>
      </c>
      <c r="M87" s="65"/>
      <c r="N87" s="20"/>
      <c r="O87" s="20"/>
      <c r="P87" s="21"/>
      <c r="Q87" s="20"/>
      <c r="R87" s="20"/>
      <c r="S87" s="20"/>
      <c r="T87" s="20"/>
      <c r="X87" s="20"/>
      <c r="Y87" s="20"/>
      <c r="Z87" s="20"/>
      <c r="AA87" s="20"/>
      <c r="AB87" s="20"/>
      <c r="AC87" s="20"/>
    </row>
    <row r="88" spans="2:29" ht="14.55" customHeight="1" outlineLevel="1" x14ac:dyDescent="0.35">
      <c r="B88" s="65"/>
      <c r="C88" s="90"/>
      <c r="D88" s="80" t="s">
        <v>13</v>
      </c>
      <c r="E88" s="92">
        <f>(1-$E$8)*HLOOKUP($E$6,'DGbase données'!$A$1:$S$17,9,0)*$E$7</f>
        <v>0</v>
      </c>
      <c r="F88" s="92"/>
      <c r="G88" s="92">
        <f>(1-$G$8)*HLOOKUP($G$6,'DGbase données'!$A$1:$S$17,9,0)*$G$7</f>
        <v>3.2298765000000001E-5</v>
      </c>
      <c r="H88" s="93"/>
      <c r="I88" s="92">
        <f>(1-$I$8)*HLOOKUP($I$6,'DGbase données'!$A$1:$S$17,9,0)*$I$7</f>
        <v>2.8012128000000026E-5</v>
      </c>
      <c r="J88" s="93"/>
      <c r="K88" s="94">
        <f>SUM(E88:I88)</f>
        <v>6.0310893000000027E-5</v>
      </c>
      <c r="L88" s="65"/>
      <c r="M88" s="65"/>
      <c r="N88" s="20"/>
      <c r="O88" s="20"/>
      <c r="P88" s="21"/>
      <c r="Q88" s="20"/>
      <c r="R88" s="20"/>
      <c r="S88" s="20"/>
      <c r="T88" s="20"/>
      <c r="X88" s="20"/>
      <c r="Y88" s="20"/>
      <c r="Z88" s="20"/>
      <c r="AA88" s="20"/>
      <c r="AB88" s="20"/>
      <c r="AC88" s="20"/>
    </row>
    <row r="89" spans="2:29" ht="14.55" customHeight="1" outlineLevel="1" x14ac:dyDescent="0.35">
      <c r="B89" s="65"/>
      <c r="C89" s="90"/>
      <c r="D89" s="80" t="s">
        <v>306</v>
      </c>
      <c r="E89" s="92">
        <f>$E$7*HLOOKUP($E$9,'DGbase données'!$A$19:$K$35,9,0)</f>
        <v>7.6412759800000002E-5</v>
      </c>
      <c r="F89" s="92"/>
      <c r="G89" s="92">
        <f>$G$7*HLOOKUP($G$9,'DGbase données'!$A$19:$K$35,9,0)</f>
        <v>8.4654891000000004E-6</v>
      </c>
      <c r="H89" s="93"/>
      <c r="I89" s="92">
        <f>$I$7*HLOOKUP($I$9,'DGbase données'!$A$19:$K$35,9,0)</f>
        <v>5.643659400000005E-6</v>
      </c>
      <c r="J89" s="93"/>
      <c r="K89" s="94">
        <f>SUM(E89:I89)</f>
        <v>9.0521908300000002E-5</v>
      </c>
      <c r="L89" s="65"/>
      <c r="M89" s="65"/>
      <c r="N89" s="20"/>
      <c r="O89" s="20"/>
      <c r="P89" s="21"/>
      <c r="Q89" s="20"/>
      <c r="R89" s="20"/>
      <c r="S89" s="20"/>
      <c r="T89" s="20"/>
      <c r="X89" s="20"/>
      <c r="Y89" s="20"/>
      <c r="Z89" s="20"/>
      <c r="AA89" s="20"/>
      <c r="AB89" s="20"/>
      <c r="AC89" s="20"/>
    </row>
    <row r="90" spans="2:29" ht="14.55" customHeight="1" outlineLevel="1" x14ac:dyDescent="0.35">
      <c r="B90" s="65"/>
      <c r="C90" s="90"/>
      <c r="D90" s="80" t="s">
        <v>312</v>
      </c>
      <c r="E90" s="108"/>
      <c r="F90" s="108"/>
      <c r="G90" s="92"/>
      <c r="H90" s="93"/>
      <c r="I90" s="92"/>
      <c r="J90" s="93"/>
      <c r="K90" s="83">
        <f>IF(ISBLANK($G$14),0,$E$3*HLOOKUP($G$14,'DGbase données'!$A$58:$G$74,9,0))</f>
        <v>4.1758867920000005E-3</v>
      </c>
      <c r="L90" s="65"/>
      <c r="M90" s="65"/>
      <c r="N90" s="20"/>
      <c r="O90" s="20"/>
      <c r="P90" s="21"/>
      <c r="Q90" s="20"/>
      <c r="R90" s="20"/>
      <c r="S90" s="20"/>
      <c r="T90" s="20"/>
      <c r="X90" s="20"/>
      <c r="Y90" s="20"/>
      <c r="Z90" s="20"/>
      <c r="AA90" s="20"/>
      <c r="AB90" s="20"/>
      <c r="AC90" s="20"/>
    </row>
    <row r="91" spans="2:29" ht="14.55" customHeight="1" outlineLevel="1" x14ac:dyDescent="0.35">
      <c r="B91" s="65"/>
      <c r="C91" s="90"/>
      <c r="D91" s="80" t="s">
        <v>314</v>
      </c>
      <c r="E91" s="108"/>
      <c r="F91" s="108"/>
      <c r="G91" s="92"/>
      <c r="H91" s="92"/>
      <c r="I91" s="92"/>
      <c r="J91" s="92"/>
      <c r="K91" s="83">
        <f>IF(($I$14=0),0,$E$3*HLOOKUP($I$14,'DGbase données'!$A$58:$G$74,9,0))</f>
        <v>0</v>
      </c>
      <c r="L91" s="65"/>
      <c r="M91" s="65"/>
      <c r="N91" s="20"/>
      <c r="O91" s="20"/>
      <c r="P91" s="21"/>
      <c r="Q91" s="20"/>
      <c r="R91" s="20"/>
      <c r="S91" s="20"/>
      <c r="T91" s="20"/>
      <c r="X91" s="20"/>
      <c r="Y91" s="20"/>
      <c r="Z91" s="20"/>
      <c r="AA91" s="20"/>
      <c r="AB91" s="20"/>
      <c r="AC91" s="20"/>
    </row>
    <row r="92" spans="2:29" ht="14.55" customHeight="1" outlineLevel="1" x14ac:dyDescent="0.35">
      <c r="B92" s="65"/>
      <c r="C92" s="90"/>
      <c r="D92" s="80" t="s">
        <v>320</v>
      </c>
      <c r="E92" s="92" t="e">
        <f>HLOOKUP($E$6,DGbaseF2V!$A$76:$H$92,9,0)*$E$7</f>
        <v>#N/A</v>
      </c>
      <c r="F92" s="92"/>
      <c r="G92" s="92" t="e">
        <f>HLOOKUP($G$6,DGbaseF2V!$A$76:$H$92,9,0)*$G$7</f>
        <v>#N/A</v>
      </c>
      <c r="H92" s="93"/>
      <c r="I92" s="92" t="e">
        <f>HLOOKUP($I$6,DGbaseF2V!$A$76:$H$92,9,0)*$I$7</f>
        <v>#N/A</v>
      </c>
      <c r="J92" s="93"/>
      <c r="K92" s="94" t="e">
        <f>SUM(E92:I92)</f>
        <v>#N/A</v>
      </c>
      <c r="L92" s="65"/>
      <c r="M92" s="65"/>
      <c r="N92" s="20"/>
      <c r="O92" s="20"/>
      <c r="P92" s="21"/>
      <c r="Q92" s="20"/>
      <c r="R92" s="20"/>
      <c r="S92" s="20"/>
      <c r="T92" s="20"/>
      <c r="X92" s="20"/>
      <c r="Y92" s="20"/>
      <c r="Z92" s="20"/>
      <c r="AA92" s="20"/>
      <c r="AB92" s="20"/>
      <c r="AC92" s="20"/>
    </row>
    <row r="93" spans="2:29" ht="14.55" customHeight="1" outlineLevel="1" x14ac:dyDescent="0.35">
      <c r="B93" s="65"/>
      <c r="C93" s="90"/>
      <c r="D93" s="80" t="s">
        <v>337</v>
      </c>
      <c r="E93" s="92" t="e">
        <f>HLOOKUP($E$6,DGbaseF2V!$A$58:$H$74,9,0)*$E$7</f>
        <v>#N/A</v>
      </c>
      <c r="F93" s="92"/>
      <c r="G93" s="92">
        <f>HLOOKUP($G$6,DGbaseF2V!$A$58:$H$74,9,0)*$G$7</f>
        <v>-8.5320885000000007E-7</v>
      </c>
      <c r="H93" s="93"/>
      <c r="I93" s="92">
        <f>HLOOKUP($I$6,DGbaseF2V!$A$58:$H$74,9,0)*$I$7</f>
        <v>-5.688059000000005E-7</v>
      </c>
      <c r="J93" s="93"/>
      <c r="K93" s="94" t="e">
        <f t="shared" ref="K93" si="3">SUM(E93:I93)</f>
        <v>#N/A</v>
      </c>
      <c r="L93" s="65"/>
      <c r="M93" s="65"/>
      <c r="N93" s="20"/>
      <c r="O93" s="20"/>
      <c r="P93" s="21"/>
      <c r="Q93" s="20"/>
      <c r="R93" s="20"/>
      <c r="S93" s="20"/>
      <c r="T93" s="20"/>
      <c r="X93" s="20"/>
      <c r="Y93" s="20"/>
      <c r="Z93" s="20"/>
      <c r="AA93" s="20"/>
      <c r="AB93" s="20"/>
      <c r="AC93" s="20"/>
    </row>
    <row r="94" spans="2:29" ht="14.55" customHeight="1" outlineLevel="1" x14ac:dyDescent="0.35">
      <c r="B94" s="65"/>
      <c r="C94" s="90"/>
      <c r="D94" s="80" t="s">
        <v>321</v>
      </c>
      <c r="E94" s="92" t="e">
        <f>HLOOKUP($E$6,DGbaseF2V!$A$22:$H$38,9,0)*$E$7</f>
        <v>#N/A</v>
      </c>
      <c r="F94" s="92"/>
      <c r="G94" s="92" t="e">
        <f>HLOOKUP($G$6,DGbaseF2V!$A$22:$H$38,9,0)*$G$7</f>
        <v>#N/A</v>
      </c>
      <c r="H94" s="93"/>
      <c r="I94" s="92">
        <f>HLOOKUP($I$6,DGbaseF2V!$A$22:$H$38,9,0)*$I$7</f>
        <v>2.8528348000000026E-6</v>
      </c>
      <c r="J94" s="93"/>
      <c r="K94" s="94" t="e">
        <f>SUM(E94:I94)</f>
        <v>#N/A</v>
      </c>
      <c r="L94" s="65"/>
      <c r="M94" s="65"/>
      <c r="N94" s="20"/>
      <c r="O94" s="20"/>
      <c r="P94" s="21"/>
      <c r="Q94" s="20"/>
      <c r="R94" s="20"/>
      <c r="S94" s="20"/>
      <c r="T94" s="20"/>
      <c r="X94" s="20"/>
      <c r="Y94" s="20"/>
      <c r="Z94" s="20"/>
      <c r="AA94" s="20"/>
      <c r="AB94" s="20"/>
      <c r="AC94" s="20"/>
    </row>
    <row r="95" spans="2:29" ht="14.55" customHeight="1" outlineLevel="1" x14ac:dyDescent="0.35">
      <c r="B95" s="65"/>
      <c r="C95" s="90"/>
      <c r="D95" s="80" t="s">
        <v>322</v>
      </c>
      <c r="E95" s="92" t="s">
        <v>338</v>
      </c>
      <c r="F95" s="92"/>
      <c r="G95" s="92" t="s">
        <v>338</v>
      </c>
      <c r="H95" s="93"/>
      <c r="I95" s="92" t="s">
        <v>338</v>
      </c>
      <c r="J95" s="93"/>
      <c r="K95" s="92" t="s">
        <v>338</v>
      </c>
      <c r="L95" s="65"/>
      <c r="M95" s="65"/>
      <c r="N95" s="20"/>
      <c r="O95" s="20"/>
      <c r="P95" s="21"/>
      <c r="Q95" s="20"/>
      <c r="R95" s="20"/>
      <c r="S95" s="20"/>
      <c r="T95" s="20"/>
      <c r="X95" s="20"/>
      <c r="Y95" s="20"/>
      <c r="Z95" s="20"/>
      <c r="AA95" s="20"/>
      <c r="AB95" s="20"/>
      <c r="AC95" s="20"/>
    </row>
    <row r="96" spans="2:29" ht="14.55" customHeight="1" outlineLevel="1" x14ac:dyDescent="0.35">
      <c r="B96" s="65"/>
      <c r="C96" s="90"/>
      <c r="D96" s="80" t="s">
        <v>339</v>
      </c>
      <c r="E96" s="81">
        <f>HLOOKUP($E$6,DGbaseF2V!$A$40:$S$56,9,0)*$E$7</f>
        <v>8.3525258116666674E-4</v>
      </c>
      <c r="F96" s="81"/>
      <c r="G96" s="81">
        <f>HLOOKUP($G$6,DGbaseF2V!$A$40:$S$56,9,0)*$G$7</f>
        <v>3.2822232E-5</v>
      </c>
      <c r="H96" s="82"/>
      <c r="I96" s="81">
        <f>HLOOKUP($I$6,DGbaseF2V!$A$40:$S$56,9,0)*$I$7</f>
        <v>2.8528348000000026E-6</v>
      </c>
      <c r="J96" s="82"/>
      <c r="K96" s="83">
        <f>SUM(E96:I96)</f>
        <v>8.7092764796666672E-4</v>
      </c>
      <c r="L96" s="65"/>
      <c r="M96" s="65"/>
      <c r="N96" s="20"/>
      <c r="O96" s="20"/>
      <c r="P96" s="21"/>
      <c r="Q96" s="20"/>
      <c r="R96" s="20"/>
      <c r="S96" s="20"/>
      <c r="T96" s="20"/>
      <c r="X96" s="20"/>
      <c r="Y96" s="20"/>
      <c r="Z96" s="20"/>
      <c r="AA96" s="20"/>
      <c r="AB96" s="20"/>
      <c r="AC96" s="20"/>
    </row>
    <row r="97" spans="2:29" ht="14.55" customHeight="1" outlineLevel="1" x14ac:dyDescent="0.35">
      <c r="B97" s="65"/>
      <c r="C97" s="90"/>
      <c r="D97" s="80" t="s">
        <v>340</v>
      </c>
      <c r="E97" s="104">
        <f>IF($E$7="","",E87/(((1-$E$8)*'DGbase données'!$C$47)+($E$7*SUM('DGbase données'!$E$47,'DGbase données'!$G$47))))</f>
        <v>9.5921912393527272E-4</v>
      </c>
      <c r="F97" s="104"/>
      <c r="G97" s="104">
        <f>IF($E$7="","",G87/(((1-$E$8)*'DGbase données'!$C$47)+($E$7*SUM('DGbase données'!$E$47,'DGbase données'!$G$47))))</f>
        <v>7.7424863662660563E-5</v>
      </c>
      <c r="H97" s="103"/>
      <c r="I97" s="104">
        <f>IF($E$7="","",I87/(((1-$E$8)*'DGbase données'!$C$47)+($E$7*SUM('DGbase données'!$E$47,'DGbase données'!$G$47))))</f>
        <v>3.8412964746071554E-5</v>
      </c>
      <c r="J97" s="103"/>
      <c r="K97" s="88">
        <f>(K90+K91)/(2*'DGbase données'!I47*$E$3)</f>
        <v>0.5</v>
      </c>
      <c r="L97" s="89" t="s">
        <v>341</v>
      </c>
      <c r="M97" s="65"/>
      <c r="N97" s="20"/>
      <c r="O97" s="20"/>
      <c r="P97" s="21"/>
      <c r="Q97" s="20"/>
      <c r="R97" s="20"/>
      <c r="S97" s="20"/>
      <c r="T97" s="20"/>
      <c r="X97" s="20"/>
      <c r="Y97" s="20"/>
      <c r="Z97" s="20"/>
      <c r="AA97" s="20"/>
      <c r="AB97" s="20"/>
      <c r="AC97" s="20"/>
    </row>
    <row r="98" spans="2:29" ht="14.55" customHeight="1" x14ac:dyDescent="0.35">
      <c r="B98" s="65"/>
      <c r="C98" s="90"/>
      <c r="D98" s="85"/>
      <c r="E98" s="109"/>
      <c r="F98" s="109"/>
      <c r="G98" s="109"/>
      <c r="H98" s="110"/>
      <c r="I98" s="109"/>
      <c r="J98" s="110"/>
      <c r="K98" s="109"/>
      <c r="L98" s="65"/>
      <c r="M98" s="65"/>
      <c r="N98" s="20"/>
      <c r="O98" s="20"/>
      <c r="P98" s="21"/>
      <c r="Q98" s="20"/>
      <c r="R98" s="20"/>
      <c r="S98" s="20"/>
      <c r="T98" s="20"/>
      <c r="X98" s="20"/>
      <c r="Y98" s="20"/>
      <c r="Z98" s="20"/>
      <c r="AA98" s="20"/>
      <c r="AB98" s="20"/>
      <c r="AC98" s="20"/>
    </row>
    <row r="99" spans="2:29" ht="3" customHeight="1" x14ac:dyDescent="0.35">
      <c r="B99" s="20"/>
      <c r="C99" s="95"/>
      <c r="D99" s="95"/>
      <c r="E99" s="95"/>
      <c r="F99" s="95"/>
      <c r="G99" s="95"/>
      <c r="H99" s="95"/>
      <c r="I99" s="95"/>
      <c r="J99" s="95"/>
      <c r="K99" s="111"/>
      <c r="L99" s="20"/>
      <c r="M99" s="20"/>
      <c r="N99" s="20"/>
      <c r="O99" s="20"/>
      <c r="P99" s="21"/>
      <c r="Q99" s="20"/>
      <c r="R99" s="20"/>
      <c r="S99" s="20"/>
      <c r="T99" s="20"/>
      <c r="X99" s="20"/>
      <c r="Y99" s="20"/>
      <c r="Z99" s="20"/>
      <c r="AA99" s="20"/>
      <c r="AB99" s="20"/>
      <c r="AC99" s="20"/>
    </row>
    <row r="100" spans="2:29" ht="25.05" customHeight="1" x14ac:dyDescent="0.35">
      <c r="B100" s="65"/>
      <c r="C100" s="75" t="s">
        <v>331</v>
      </c>
      <c r="D100" s="100" t="s">
        <v>345</v>
      </c>
      <c r="E100" s="77">
        <f>IF($I$19="yes",(SUM(E101,E102,E109)/$E$14),(SUM(E101:E107)/$E$14))</f>
        <v>1.9920494304605709E-6</v>
      </c>
      <c r="F100" s="77"/>
      <c r="G100" s="77">
        <f>IF($I$19="yes",(SUM(G101,G102,G109)/$E$14),(SUM(G101:G107)/$E$14))</f>
        <v>1.6420686704169004E-7</v>
      </c>
      <c r="H100" s="78"/>
      <c r="I100" s="77">
        <f>IF($I$19="yes",(SUM(I101,I102,I109)/$E$14),(SUM(I101:I107)/$E$14))</f>
        <v>8.3647485694460059E-8</v>
      </c>
      <c r="J100" s="78"/>
      <c r="K100" s="77">
        <f>IF($I$19="yes",(SUM(K101,K102,K103,K104,K109)/$E$14),(SUM(K101:K107)/$E$14))</f>
        <v>2.2399692152997209E-6</v>
      </c>
      <c r="L100" s="77">
        <f>IF($I$19="yes",(SUM(K101,K102,K103,K104,K109)/1),(SUM(K101:K107)/1))</f>
        <v>4.4799384305994419E-5</v>
      </c>
      <c r="M100" s="65"/>
      <c r="N100" s="20"/>
      <c r="O100" s="20"/>
      <c r="P100" s="21"/>
      <c r="Q100" s="20"/>
      <c r="R100" s="20"/>
      <c r="S100" s="20"/>
      <c r="T100" s="20"/>
      <c r="X100" s="20"/>
      <c r="Y100" s="20"/>
      <c r="Z100" s="20"/>
      <c r="AA100" s="20"/>
      <c r="AB100" s="20"/>
      <c r="AC100" s="20"/>
    </row>
    <row r="101" spans="2:29" ht="14.55" customHeight="1" outlineLevel="1" x14ac:dyDescent="0.35">
      <c r="B101" s="65"/>
      <c r="C101" s="90"/>
      <c r="D101" s="80" t="s">
        <v>13</v>
      </c>
      <c r="E101" s="92">
        <f>(1-$E$8)*HLOOKUP($E$6,'DGbase données'!$A$1:$S$17,10,0)*$E$7</f>
        <v>0</v>
      </c>
      <c r="F101" s="92"/>
      <c r="G101" s="92">
        <f>(1-$G$8)*HLOOKUP($G$6,'DGbase données'!$A$1:$S$17,10,0)*$G$7</f>
        <v>1.63974444E-6</v>
      </c>
      <c r="H101" s="93"/>
      <c r="I101" s="92">
        <f>(1-$I$8)*HLOOKUP($I$6,'DGbase données'!$A$1:$S$17,10,0)*$I$7</f>
        <v>1.253612420000001E-6</v>
      </c>
      <c r="J101" s="93"/>
      <c r="K101" s="94">
        <f>SUM(E101:I101)</f>
        <v>2.8933568600000007E-6</v>
      </c>
      <c r="L101" s="65"/>
      <c r="M101" s="65"/>
      <c r="N101" s="20"/>
      <c r="O101" s="20"/>
      <c r="P101" s="21"/>
      <c r="Q101" s="20"/>
      <c r="R101" s="20"/>
      <c r="S101" s="20"/>
      <c r="T101" s="20"/>
      <c r="X101" s="20"/>
      <c r="Y101" s="20"/>
      <c r="Z101" s="20"/>
      <c r="AA101" s="20"/>
      <c r="AB101" s="20"/>
      <c r="AC101" s="20"/>
    </row>
    <row r="102" spans="2:29" ht="14.55" customHeight="1" outlineLevel="1" x14ac:dyDescent="0.35">
      <c r="B102" s="65"/>
      <c r="C102" s="90"/>
      <c r="D102" s="80" t="s">
        <v>306</v>
      </c>
      <c r="E102" s="92">
        <f>$E$7*HLOOKUP($E$9,'DGbase données'!$A$19:$K$35,10,0)</f>
        <v>5.0267544750000004E-11</v>
      </c>
      <c r="F102" s="92"/>
      <c r="G102" s="92">
        <f>$G$7*HLOOKUP($G$9,'DGbase données'!$A$19:$K$35,10,0)</f>
        <v>3.5308338000000004E-12</v>
      </c>
      <c r="H102" s="93"/>
      <c r="I102" s="92">
        <f>$I$7*HLOOKUP($I$9,'DGbase données'!$A$19:$K$35,10,0)</f>
        <v>2.3538892000000021E-12</v>
      </c>
      <c r="J102" s="93"/>
      <c r="K102" s="94">
        <f>SUM(E102:I102)</f>
        <v>5.6152267750000007E-11</v>
      </c>
      <c r="L102" s="65"/>
      <c r="M102" s="65"/>
      <c r="N102" s="20"/>
      <c r="O102" s="20"/>
      <c r="P102" s="21"/>
      <c r="Q102" s="20"/>
      <c r="R102" s="20"/>
      <c r="S102" s="20"/>
      <c r="T102" s="20"/>
      <c r="X102" s="20"/>
      <c r="Y102" s="20"/>
      <c r="Z102" s="20"/>
      <c r="AA102" s="20"/>
      <c r="AB102" s="20"/>
      <c r="AC102" s="20"/>
    </row>
    <row r="103" spans="2:29" ht="14.55" customHeight="1" outlineLevel="1" x14ac:dyDescent="0.35">
      <c r="B103" s="65"/>
      <c r="C103" s="90"/>
      <c r="D103" s="80" t="s">
        <v>312</v>
      </c>
      <c r="E103" s="108"/>
      <c r="F103" s="108"/>
      <c r="G103" s="92"/>
      <c r="H103" s="93"/>
      <c r="I103" s="92"/>
      <c r="J103" s="93"/>
      <c r="K103" s="83">
        <f>IF(ISBLANK($G$14),0,$E$3*HLOOKUP($G$14,'DGbase données'!$A$58:$G$74,10,0))</f>
        <v>1.30864206E-9</v>
      </c>
      <c r="L103" s="65"/>
      <c r="M103" s="65"/>
      <c r="N103" s="20"/>
      <c r="O103" s="20"/>
      <c r="P103" s="21"/>
      <c r="Q103" s="20"/>
      <c r="R103" s="20"/>
      <c r="S103" s="20"/>
      <c r="T103" s="20"/>
      <c r="X103" s="20"/>
      <c r="Y103" s="20"/>
      <c r="Z103" s="20"/>
      <c r="AA103" s="20"/>
      <c r="AB103" s="20"/>
      <c r="AC103" s="20"/>
    </row>
    <row r="104" spans="2:29" ht="14.55" customHeight="1" outlineLevel="1" x14ac:dyDescent="0.35">
      <c r="B104" s="65"/>
      <c r="C104" s="90"/>
      <c r="D104" s="80" t="s">
        <v>314</v>
      </c>
      <c r="E104" s="108"/>
      <c r="F104" s="108"/>
      <c r="G104" s="92"/>
      <c r="H104" s="92"/>
      <c r="I104" s="92"/>
      <c r="J104" s="92"/>
      <c r="K104" s="83">
        <f>IF(($I$14=0),0,$E$3*HLOOKUP($I$14,'DGbase données'!$A$58:$G$74,10,0))</f>
        <v>0</v>
      </c>
      <c r="L104" s="65"/>
      <c r="M104" s="65"/>
      <c r="N104" s="20"/>
      <c r="O104" s="20"/>
      <c r="P104" s="21"/>
      <c r="Q104" s="20"/>
      <c r="R104" s="20"/>
      <c r="S104" s="20"/>
      <c r="T104" s="20"/>
      <c r="X104" s="20"/>
      <c r="Y104" s="20"/>
      <c r="Z104" s="20"/>
      <c r="AA104" s="20"/>
      <c r="AB104" s="20"/>
      <c r="AC104" s="20"/>
    </row>
    <row r="105" spans="2:29" ht="14.55" customHeight="1" outlineLevel="1" x14ac:dyDescent="0.35">
      <c r="B105" s="65"/>
      <c r="C105" s="90"/>
      <c r="D105" s="80" t="s">
        <v>320</v>
      </c>
      <c r="E105" s="92" t="e">
        <f>HLOOKUP($E$6,DGbaseF2V!$A$76:$H$92,10,0)*$E$7</f>
        <v>#N/A</v>
      </c>
      <c r="F105" s="92"/>
      <c r="G105" s="92" t="e">
        <f>HLOOKUP($G$6,DGbaseF2V!$A$76:$H$92,10,0)*$G$7</f>
        <v>#N/A</v>
      </c>
      <c r="H105" s="93"/>
      <c r="I105" s="92" t="e">
        <f>HLOOKUP($I$6,DGbaseF2V!$A$76:$H$92,10,0)*$I$7</f>
        <v>#N/A</v>
      </c>
      <c r="J105" s="93"/>
      <c r="K105" s="94" t="e">
        <f>SUM(E105:I105)</f>
        <v>#N/A</v>
      </c>
      <c r="L105" s="65"/>
      <c r="M105" s="65"/>
      <c r="N105" s="20"/>
      <c r="O105" s="20"/>
      <c r="P105" s="21"/>
      <c r="Q105" s="20"/>
      <c r="R105" s="20"/>
      <c r="S105" s="20"/>
      <c r="T105" s="20"/>
      <c r="X105" s="20"/>
      <c r="Y105" s="20"/>
      <c r="Z105" s="20"/>
      <c r="AA105" s="20"/>
      <c r="AB105" s="20"/>
      <c r="AC105" s="20"/>
    </row>
    <row r="106" spans="2:29" ht="14.55" customHeight="1" outlineLevel="1" x14ac:dyDescent="0.35">
      <c r="B106" s="65"/>
      <c r="C106" s="90"/>
      <c r="D106" s="80" t="s">
        <v>337</v>
      </c>
      <c r="E106" s="92" t="e">
        <f>HLOOKUP($E$6,DGbaseF2V!$A$58:$H$74,10,0)*$E$7</f>
        <v>#N/A</v>
      </c>
      <c r="F106" s="92"/>
      <c r="G106" s="92">
        <f>HLOOKUP($G$6,DGbaseF2V!$A$58:$H$74,10,0)*$G$7</f>
        <v>-1.01315571E-7</v>
      </c>
      <c r="H106" s="93"/>
      <c r="I106" s="92">
        <f>HLOOKUP($I$6,DGbaseF2V!$A$58:$H$74,10,0)*$I$7</f>
        <v>-6.7543714000000047E-8</v>
      </c>
      <c r="J106" s="93"/>
      <c r="K106" s="94" t="e">
        <f t="shared" ref="K106" si="4">SUM(E106:I106)</f>
        <v>#N/A</v>
      </c>
      <c r="L106" s="65"/>
      <c r="M106" s="65"/>
      <c r="N106" s="20"/>
      <c r="O106" s="20"/>
      <c r="P106" s="21"/>
      <c r="Q106" s="20"/>
      <c r="R106" s="20"/>
      <c r="S106" s="20"/>
      <c r="T106" s="20"/>
      <c r="X106" s="20"/>
      <c r="Y106" s="20"/>
      <c r="Z106" s="20"/>
      <c r="AA106" s="20"/>
      <c r="AB106" s="20"/>
      <c r="AC106" s="20"/>
    </row>
    <row r="107" spans="2:29" ht="14.55" customHeight="1" outlineLevel="1" x14ac:dyDescent="0.35">
      <c r="B107" s="65"/>
      <c r="C107" s="90"/>
      <c r="D107" s="80" t="s">
        <v>321</v>
      </c>
      <c r="E107" s="92" t="e">
        <f>HLOOKUP($E$6,DGbaseF2V!$A$22:$H$38,10,0)*$E$7</f>
        <v>#N/A</v>
      </c>
      <c r="F107" s="92"/>
      <c r="G107" s="92" t="e">
        <f>HLOOKUP($G$6,DGbaseF2V!$A$22:$H$38,10,0)*$G$7</f>
        <v>#N/A</v>
      </c>
      <c r="H107" s="93"/>
      <c r="I107" s="92">
        <f>HLOOKUP($I$6,DGbaseF2V!$A$22:$H$38,10,0)*$I$7</f>
        <v>4.1933494000000033E-7</v>
      </c>
      <c r="J107" s="93"/>
      <c r="K107" s="94" t="e">
        <f>SUM(E107:I107)</f>
        <v>#N/A</v>
      </c>
      <c r="L107" s="65"/>
      <c r="M107" s="65"/>
      <c r="N107" s="20"/>
      <c r="O107" s="20"/>
      <c r="P107" s="21"/>
      <c r="Q107" s="20"/>
      <c r="R107" s="20"/>
      <c r="S107" s="20"/>
      <c r="T107" s="20"/>
      <c r="X107" s="20"/>
      <c r="Y107" s="20"/>
      <c r="Z107" s="20"/>
      <c r="AA107" s="20"/>
      <c r="AB107" s="20"/>
      <c r="AC107" s="20"/>
    </row>
    <row r="108" spans="2:29" ht="14.55" customHeight="1" outlineLevel="1" x14ac:dyDescent="0.35">
      <c r="B108" s="65"/>
      <c r="C108" s="90"/>
      <c r="D108" s="80" t="s">
        <v>322</v>
      </c>
      <c r="E108" s="92" t="s">
        <v>338</v>
      </c>
      <c r="F108" s="92"/>
      <c r="G108" s="92" t="s">
        <v>338</v>
      </c>
      <c r="H108" s="93"/>
      <c r="I108" s="92" t="s">
        <v>338</v>
      </c>
      <c r="J108" s="93"/>
      <c r="K108" s="92" t="s">
        <v>338</v>
      </c>
      <c r="L108" s="65"/>
      <c r="M108" s="65"/>
      <c r="N108" s="20"/>
      <c r="O108" s="20"/>
      <c r="P108" s="21"/>
      <c r="Q108" s="20"/>
      <c r="R108" s="20"/>
      <c r="S108" s="20"/>
      <c r="T108" s="20"/>
      <c r="X108" s="20"/>
      <c r="Y108" s="20"/>
      <c r="Z108" s="20"/>
      <c r="AA108" s="20"/>
      <c r="AB108" s="20"/>
      <c r="AC108" s="20"/>
    </row>
    <row r="109" spans="2:29" ht="14.55" customHeight="1" outlineLevel="1" x14ac:dyDescent="0.35">
      <c r="B109" s="65"/>
      <c r="C109" s="90"/>
      <c r="D109" s="80" t="s">
        <v>339</v>
      </c>
      <c r="E109" s="92">
        <f>HLOOKUP($E$6,DGbaseF2V!$A$40:$S$56,10,0)*$E$7</f>
        <v>3.9840938341666668E-5</v>
      </c>
      <c r="F109" s="92"/>
      <c r="G109" s="92">
        <f>HLOOKUP($G$6,DGbaseF2V!$A$40:$S$56,10,0)*$G$7</f>
        <v>1.6443893700000003E-6</v>
      </c>
      <c r="H109" s="93"/>
      <c r="I109" s="92">
        <f>HLOOKUP($I$6,DGbaseF2V!$A$40:$S$56,10,0)*$I$7</f>
        <v>4.1933494000000033E-7</v>
      </c>
      <c r="J109" s="93"/>
      <c r="K109" s="83">
        <f>SUM(E109:I109)</f>
        <v>4.190466265166667E-5</v>
      </c>
      <c r="L109" s="65"/>
      <c r="M109" s="65"/>
      <c r="N109" s="20"/>
      <c r="O109" s="20"/>
      <c r="P109" s="21"/>
      <c r="Q109" s="20"/>
      <c r="R109" s="20"/>
      <c r="S109" s="20"/>
      <c r="T109" s="20"/>
      <c r="X109" s="20"/>
      <c r="Y109" s="20"/>
      <c r="Z109" s="20"/>
      <c r="AA109" s="20"/>
      <c r="AB109" s="20"/>
      <c r="AC109" s="20"/>
    </row>
    <row r="110" spans="2:29" ht="18" outlineLevel="1" x14ac:dyDescent="0.35">
      <c r="B110" s="65"/>
      <c r="C110" s="90"/>
      <c r="D110" s="80" t="s">
        <v>340</v>
      </c>
      <c r="E110" s="104">
        <f>IF($E$7="","",E100/(((1-$E$8)*'DGbase données'!$C$48)+($E$7*SUM('DGbase données'!$E$48,'DGbase données'!$G$48))))</f>
        <v>7.9574211127625503E-4</v>
      </c>
      <c r="F110" s="104"/>
      <c r="G110" s="104">
        <f>IF($E$7="","",G100/(((1-$E$8)*'DGbase données'!$C$48)+($E$7*SUM('DGbase données'!$E$48,'DGbase données'!$G$48))))</f>
        <v>6.5593914020297715E-5</v>
      </c>
      <c r="H110" s="103"/>
      <c r="I110" s="104">
        <f>IF($E$7="","",I100/(((1-$E$8)*'DGbase données'!$C$48)+($E$7*SUM('DGbase données'!$E$48,'DGbase données'!$G$48))))</f>
        <v>3.3413742576694288E-5</v>
      </c>
      <c r="J110" s="103"/>
      <c r="K110" s="88">
        <f>(K103+K104)/(2*'DGbase données'!I48*$E$3)</f>
        <v>0.5</v>
      </c>
      <c r="L110" s="89" t="s">
        <v>341</v>
      </c>
      <c r="M110" s="65"/>
      <c r="N110" s="20"/>
      <c r="O110" s="20"/>
      <c r="P110" s="21"/>
      <c r="Q110" s="20"/>
      <c r="R110" s="20"/>
      <c r="S110" s="20"/>
      <c r="T110" s="20"/>
      <c r="X110" s="20"/>
      <c r="Y110" s="20"/>
      <c r="Z110" s="20"/>
      <c r="AA110" s="20"/>
      <c r="AB110" s="20"/>
      <c r="AC110" s="20"/>
    </row>
    <row r="111" spans="2:29" ht="18" x14ac:dyDescent="0.35">
      <c r="B111" s="65"/>
      <c r="C111" s="90"/>
      <c r="D111" s="85"/>
      <c r="E111" s="109"/>
      <c r="F111" s="109"/>
      <c r="G111" s="109"/>
      <c r="H111" s="110"/>
      <c r="I111" s="109"/>
      <c r="J111" s="110"/>
      <c r="K111" s="109"/>
      <c r="L111" s="65"/>
      <c r="M111" s="65"/>
      <c r="N111" s="20"/>
      <c r="O111" s="20"/>
      <c r="P111" s="21"/>
      <c r="Q111" s="20"/>
      <c r="R111" s="20"/>
      <c r="S111" s="20"/>
      <c r="T111" s="20"/>
      <c r="X111" s="20"/>
      <c r="Y111" s="20"/>
      <c r="Z111" s="20"/>
      <c r="AA111" s="20"/>
      <c r="AB111" s="20"/>
      <c r="AC111" s="20"/>
    </row>
    <row r="112" spans="2:29" s="20" customFormat="1" ht="3" customHeight="1" x14ac:dyDescent="0.35">
      <c r="C112" s="95"/>
      <c r="D112" s="105"/>
      <c r="E112" s="112"/>
      <c r="F112" s="112"/>
      <c r="G112" s="112"/>
      <c r="H112" s="113"/>
      <c r="I112" s="112"/>
      <c r="J112" s="113"/>
      <c r="K112" s="112"/>
      <c r="P112" s="21"/>
    </row>
    <row r="113" spans="2:29" ht="15" customHeight="1" x14ac:dyDescent="0.35">
      <c r="B113" s="65"/>
      <c r="C113" s="75" t="s">
        <v>332</v>
      </c>
      <c r="D113" s="100" t="s">
        <v>346</v>
      </c>
      <c r="E113" s="77">
        <f>IF($I$19="yes",(SUM(E114,E115,E122)/$E$14),(SUM(E114:E120)/$E$14))</f>
        <v>4.9224314038391666E-3</v>
      </c>
      <c r="F113" s="77"/>
      <c r="G113" s="77">
        <f>IF($I$19="yes",(SUM(G114,G115,G122)/$E$14),(SUM(G114:G120)/$E$14))</f>
        <v>4.46248782522E-4</v>
      </c>
      <c r="H113" s="78"/>
      <c r="I113" s="77">
        <f>IF($I$19="yes",(SUM(I114,I115,I122)/$E$14),(SUM(I114:I120)/$E$14))</f>
        <v>1.6276497434800015E-4</v>
      </c>
      <c r="J113" s="78"/>
      <c r="K113" s="77">
        <f>IF($I$19="yes",(SUM(K114,K115,K116,K117,K122)/$E$14),(SUM(K114:K120)/$E$14))</f>
        <v>5.6082269009091667E-3</v>
      </c>
      <c r="L113" s="77">
        <f>IF($I$19="yes",(SUM(K114,K115,K116,K117,K122)/1),(SUM(K114:K120)/1))</f>
        <v>0.11216453801818334</v>
      </c>
      <c r="M113" s="65"/>
      <c r="N113" s="20"/>
      <c r="O113" s="20"/>
      <c r="P113" s="21"/>
      <c r="Q113" s="20"/>
      <c r="R113" s="20"/>
      <c r="S113" s="20"/>
      <c r="T113" s="20"/>
      <c r="X113" s="20"/>
      <c r="Y113" s="20"/>
      <c r="Z113" s="20"/>
      <c r="AA113" s="20"/>
      <c r="AB113" s="20"/>
      <c r="AC113" s="20"/>
    </row>
    <row r="114" spans="2:29" ht="15" customHeight="1" outlineLevel="1" x14ac:dyDescent="0.35">
      <c r="B114" s="65"/>
      <c r="C114" s="90"/>
      <c r="D114" s="80" t="s">
        <v>13</v>
      </c>
      <c r="E114" s="92">
        <f>(1-$E$8)*HLOOKUP($E$6,'DGbase données'!$A$1:$S$17,15,0)*$E$7</f>
        <v>0</v>
      </c>
      <c r="F114" s="92"/>
      <c r="G114" s="92">
        <f>(1-$G$8)*HLOOKUP($G$6,'DGbase données'!$A$1:$S$17,15,0)*$G$7</f>
        <v>4.4573388000000002E-3</v>
      </c>
      <c r="H114" s="93"/>
      <c r="I114" s="92">
        <f>(1-$I$8)*HLOOKUP($I$6,'DGbase données'!$A$1:$S$17,15,0)*$I$7</f>
        <v>3.0345676000000025E-3</v>
      </c>
      <c r="J114" s="93"/>
      <c r="K114" s="94">
        <f>SUM(E114:I114)</f>
        <v>7.4919064000000032E-3</v>
      </c>
      <c r="L114" s="65"/>
      <c r="M114" s="65"/>
      <c r="N114" s="20"/>
      <c r="O114" s="20"/>
      <c r="P114" s="21"/>
      <c r="Q114" s="20"/>
      <c r="R114" s="20"/>
      <c r="S114" s="20"/>
      <c r="T114" s="20"/>
      <c r="X114" s="20"/>
      <c r="Y114" s="20"/>
      <c r="Z114" s="20"/>
      <c r="AA114" s="20"/>
      <c r="AB114" s="20"/>
      <c r="AC114" s="20"/>
    </row>
    <row r="115" spans="2:29" ht="15" customHeight="1" outlineLevel="1" x14ac:dyDescent="0.35">
      <c r="B115" s="65"/>
      <c r="C115" s="90"/>
      <c r="D115" s="80" t="s">
        <v>306</v>
      </c>
      <c r="E115" s="92">
        <f>$E$7*HLOOKUP($E$9,'DGbase données'!$A$19:$K$35,15,0)</f>
        <v>2.5498143449999999E-5</v>
      </c>
      <c r="F115" s="92"/>
      <c r="G115" s="92">
        <f>$G$7*HLOOKUP($G$9,'DGbase données'!$A$19:$K$35,15,0)</f>
        <v>2.8964504399999999E-6</v>
      </c>
      <c r="H115" s="93"/>
      <c r="I115" s="92">
        <f>$I$7*HLOOKUP($I$9,'DGbase données'!$A$19:$K$35,15,0)</f>
        <v>1.9309669600000015E-6</v>
      </c>
      <c r="J115" s="93"/>
      <c r="K115" s="94">
        <f>SUM(E115:I115)</f>
        <v>3.0325560850000002E-5</v>
      </c>
      <c r="L115" s="65"/>
      <c r="M115" s="65"/>
      <c r="N115" s="20"/>
      <c r="O115" s="20"/>
      <c r="P115" s="21"/>
      <c r="Q115" s="20"/>
      <c r="R115" s="20"/>
      <c r="S115" s="20"/>
      <c r="T115" s="20"/>
      <c r="X115" s="20"/>
      <c r="Y115" s="20"/>
      <c r="Z115" s="20"/>
      <c r="AA115" s="20"/>
      <c r="AB115" s="20"/>
      <c r="AC115" s="20"/>
    </row>
    <row r="116" spans="2:29" ht="15" customHeight="1" outlineLevel="1" x14ac:dyDescent="0.35">
      <c r="B116" s="65"/>
      <c r="C116" s="90"/>
      <c r="D116" s="80" t="s">
        <v>312</v>
      </c>
      <c r="E116" s="108"/>
      <c r="F116" s="108"/>
      <c r="G116" s="92"/>
      <c r="H116" s="93"/>
      <c r="I116" s="92"/>
      <c r="J116" s="93"/>
      <c r="K116" s="83">
        <f>IF(ISBLANK($G$14),0,$E$3*HLOOKUP($G$14,'DGbase données'!$A$58:$G$74,15,0))</f>
        <v>1.535634804E-3</v>
      </c>
      <c r="L116" s="65"/>
      <c r="M116" s="65"/>
      <c r="N116" s="20"/>
      <c r="O116" s="20"/>
      <c r="P116" s="21"/>
      <c r="Q116" s="20"/>
      <c r="R116" s="20"/>
      <c r="S116" s="20"/>
      <c r="T116" s="20"/>
      <c r="X116" s="20"/>
      <c r="Y116" s="20"/>
      <c r="Z116" s="20"/>
      <c r="AA116" s="20"/>
      <c r="AB116" s="20"/>
      <c r="AC116" s="20"/>
    </row>
    <row r="117" spans="2:29" ht="15" customHeight="1" outlineLevel="1" x14ac:dyDescent="0.35">
      <c r="B117" s="65"/>
      <c r="C117" s="90"/>
      <c r="D117" s="80" t="s">
        <v>314</v>
      </c>
      <c r="E117" s="108"/>
      <c r="F117" s="108"/>
      <c r="G117" s="92"/>
      <c r="H117" s="92"/>
      <c r="I117" s="92"/>
      <c r="J117" s="92"/>
      <c r="K117" s="83">
        <f>IF(($I$14=0),0,$E$3*HLOOKUP($I$14,'DGbase données'!$A$58:$G$74,15,0))</f>
        <v>0</v>
      </c>
      <c r="L117" s="65"/>
      <c r="M117" s="65"/>
      <c r="N117" s="20"/>
      <c r="O117" s="20"/>
      <c r="P117" s="21"/>
      <c r="Q117" s="20"/>
      <c r="R117" s="20"/>
      <c r="S117" s="20"/>
      <c r="T117" s="20"/>
      <c r="X117" s="20"/>
      <c r="Y117" s="20"/>
      <c r="Z117" s="20"/>
      <c r="AA117" s="20"/>
      <c r="AB117" s="20"/>
      <c r="AC117" s="20"/>
    </row>
    <row r="118" spans="2:29" ht="15" customHeight="1" outlineLevel="1" x14ac:dyDescent="0.35">
      <c r="B118" s="65"/>
      <c r="C118" s="90"/>
      <c r="D118" s="80" t="s">
        <v>320</v>
      </c>
      <c r="E118" s="92" t="e">
        <f>HLOOKUP($E$6,DGbaseF2V!$A$76:$H$92,15,0)*$E$7</f>
        <v>#N/A</v>
      </c>
      <c r="F118" s="92"/>
      <c r="G118" s="92" t="e">
        <f>HLOOKUP($G$6,DGbaseF2V!$A$76:$H$92,15,0)*$G$7</f>
        <v>#N/A</v>
      </c>
      <c r="H118" s="93"/>
      <c r="I118" s="92" t="e">
        <f>HLOOKUP($I$6,DGbaseF2V!$A$76:$H$92,15,0)*$I$7</f>
        <v>#N/A</v>
      </c>
      <c r="J118" s="93"/>
      <c r="K118" s="94" t="e">
        <f>SUM(E118:I118)</f>
        <v>#N/A</v>
      </c>
      <c r="L118" s="65"/>
      <c r="M118" s="65"/>
      <c r="N118" s="20"/>
      <c r="O118" s="20"/>
      <c r="P118" s="21"/>
      <c r="Q118" s="20"/>
      <c r="R118" s="20"/>
      <c r="S118" s="20"/>
      <c r="T118" s="20"/>
      <c r="X118" s="20"/>
      <c r="Y118" s="20"/>
      <c r="Z118" s="20"/>
      <c r="AA118" s="20"/>
      <c r="AB118" s="20"/>
      <c r="AC118" s="20"/>
    </row>
    <row r="119" spans="2:29" ht="15" customHeight="1" outlineLevel="1" x14ac:dyDescent="0.35">
      <c r="B119" s="65"/>
      <c r="C119" s="90"/>
      <c r="D119" s="80" t="s">
        <v>337</v>
      </c>
      <c r="E119" s="92" t="e">
        <f>HLOOKUP($E$6,DGbaseF2V!$A$58:$H$74,15,0)*$E$7</f>
        <v>#N/A</v>
      </c>
      <c r="F119" s="92"/>
      <c r="G119" s="92">
        <f>HLOOKUP($G$6,DGbaseF2V!$A$58:$H$74,15,0)*$G$7</f>
        <v>-1.3039697400000001E-5</v>
      </c>
      <c r="H119" s="93"/>
      <c r="I119" s="92">
        <f>HLOOKUP($I$6,DGbaseF2V!$A$58:$H$74,15,0)*$I$7</f>
        <v>-8.6931316000000077E-6</v>
      </c>
      <c r="J119" s="93"/>
      <c r="K119" s="94" t="e">
        <f t="shared" ref="K119" si="5">SUM(E119:I119)</f>
        <v>#N/A</v>
      </c>
      <c r="L119" s="65"/>
      <c r="M119" s="65"/>
      <c r="N119" s="20"/>
      <c r="O119" s="20"/>
      <c r="P119" s="21"/>
      <c r="Q119" s="20"/>
      <c r="R119" s="20"/>
      <c r="S119" s="20"/>
      <c r="T119" s="20"/>
      <c r="X119" s="20"/>
      <c r="Y119" s="20"/>
      <c r="Z119" s="20"/>
      <c r="AA119" s="20"/>
      <c r="AB119" s="20"/>
      <c r="AC119" s="20"/>
    </row>
    <row r="120" spans="2:29" ht="15" customHeight="1" outlineLevel="1" x14ac:dyDescent="0.35">
      <c r="B120" s="65"/>
      <c r="C120" s="90"/>
      <c r="D120" s="80" t="s">
        <v>321</v>
      </c>
      <c r="E120" s="92" t="e">
        <f>HLOOKUP($E$6,DGbaseF2V!$A$22:$H$38,15,0)*$E$7</f>
        <v>#N/A</v>
      </c>
      <c r="F120" s="92"/>
      <c r="G120" s="92" t="e">
        <f>HLOOKUP($G$6,DGbaseF2V!$A$22:$H$38,15,0)*$G$7</f>
        <v>#N/A</v>
      </c>
      <c r="H120" s="93"/>
      <c r="I120" s="92">
        <f>HLOOKUP($I$6,DGbaseF2V!$A$22:$H$38,15,0)*$I$7</f>
        <v>2.1880092000000021E-4</v>
      </c>
      <c r="J120" s="93"/>
      <c r="K120" s="94" t="e">
        <f>SUM(E120:I120)</f>
        <v>#N/A</v>
      </c>
      <c r="L120" s="65"/>
      <c r="M120" s="65"/>
      <c r="N120" s="20"/>
      <c r="O120" s="20"/>
      <c r="P120" s="21"/>
      <c r="Q120" s="20"/>
      <c r="R120" s="20"/>
      <c r="S120" s="20"/>
      <c r="T120" s="20"/>
      <c r="X120" s="20"/>
      <c r="Y120" s="20"/>
      <c r="Z120" s="20"/>
      <c r="AA120" s="20"/>
      <c r="AB120" s="20"/>
      <c r="AC120" s="20"/>
    </row>
    <row r="121" spans="2:29" ht="15" customHeight="1" outlineLevel="1" x14ac:dyDescent="0.35">
      <c r="B121" s="65"/>
      <c r="C121" s="90"/>
      <c r="D121" s="80" t="s">
        <v>322</v>
      </c>
      <c r="E121" s="92" t="s">
        <v>338</v>
      </c>
      <c r="F121" s="92"/>
      <c r="G121" s="92" t="s">
        <v>338</v>
      </c>
      <c r="H121" s="93"/>
      <c r="I121" s="92" t="s">
        <v>338</v>
      </c>
      <c r="J121" s="93"/>
      <c r="K121" s="92" t="s">
        <v>338</v>
      </c>
      <c r="L121" s="65"/>
      <c r="M121" s="65"/>
      <c r="N121" s="20"/>
      <c r="O121" s="20"/>
      <c r="P121" s="21"/>
      <c r="Q121" s="20"/>
      <c r="R121" s="20"/>
      <c r="S121" s="20"/>
      <c r="T121" s="20"/>
      <c r="X121" s="20"/>
      <c r="Y121" s="20"/>
      <c r="Z121" s="20"/>
      <c r="AA121" s="20"/>
      <c r="AB121" s="20"/>
      <c r="AC121" s="20"/>
    </row>
    <row r="122" spans="2:29" ht="15" customHeight="1" outlineLevel="1" x14ac:dyDescent="0.35">
      <c r="B122" s="65"/>
      <c r="C122" s="90"/>
      <c r="D122" s="80" t="s">
        <v>339</v>
      </c>
      <c r="E122" s="92">
        <f>HLOOKUP($E$6,DGbaseF2V!$A$40:$S$56,15,0)*$E$7</f>
        <v>9.8423129933333339E-2</v>
      </c>
      <c r="F122" s="92"/>
      <c r="G122" s="92">
        <f>HLOOKUP($G$6,DGbaseF2V!$A$40:$S$56,15,0)*$G$7</f>
        <v>4.4647404000000002E-3</v>
      </c>
      <c r="H122" s="93"/>
      <c r="I122" s="92">
        <f>HLOOKUP($I$6,DGbaseF2V!$A$40:$S$56,15,0)*$I$7</f>
        <v>2.1880092000000021E-4</v>
      </c>
      <c r="J122" s="93"/>
      <c r="K122" s="83">
        <f>SUM(E122:I122)</f>
        <v>0.10310667125333334</v>
      </c>
      <c r="L122" s="65"/>
      <c r="M122" s="65"/>
      <c r="N122" s="20"/>
      <c r="O122" s="20"/>
      <c r="P122" s="21"/>
      <c r="Q122" s="20"/>
      <c r="R122" s="20"/>
      <c r="S122" s="20"/>
      <c r="T122" s="20"/>
      <c r="X122" s="20"/>
      <c r="Y122" s="20"/>
      <c r="Z122" s="20"/>
      <c r="AA122" s="20"/>
      <c r="AB122" s="20"/>
      <c r="AC122" s="20"/>
    </row>
    <row r="123" spans="2:29" ht="15" customHeight="1" outlineLevel="1" x14ac:dyDescent="0.35">
      <c r="B123" s="65"/>
      <c r="C123" s="90"/>
      <c r="D123" s="80" t="s">
        <v>340</v>
      </c>
      <c r="E123" s="104">
        <f>IF($E$7="","",E113/(((1-$E$8)*'DGbase données'!$C$53)+($E$7*SUM('DGbase données'!$E$53,'DGbase données'!$G$53))))</f>
        <v>8.7503401284037016E-4</v>
      </c>
      <c r="F123" s="104"/>
      <c r="G123" s="104">
        <f>IF($E$7="","",G113/(((1-$E$8)*'DGbase données'!$C$53)+($E$7*SUM('DGbase données'!$E$53,'DGbase données'!$G$53))))</f>
        <v>7.9327232999286661E-5</v>
      </c>
      <c r="H123" s="103"/>
      <c r="I123" s="104">
        <f>IF($E$7="","",I113/(((1-$E$8)*'DGbase données'!$C$53)+($E$7*SUM('DGbase données'!$E$53,'DGbase données'!$G$53))))</f>
        <v>2.893384934577425E-5</v>
      </c>
      <c r="J123" s="103"/>
      <c r="K123" s="88">
        <f>(K116+K117)/(2*'DGbase données'!I53*$E$3)</f>
        <v>0.5</v>
      </c>
      <c r="L123" s="89" t="s">
        <v>341</v>
      </c>
      <c r="M123" s="65"/>
      <c r="N123" s="20"/>
      <c r="O123" s="20"/>
      <c r="P123" s="21"/>
      <c r="Q123" s="20"/>
      <c r="R123" s="20"/>
      <c r="S123" s="20"/>
      <c r="T123" s="20"/>
      <c r="X123" s="20"/>
      <c r="Y123" s="20"/>
      <c r="Z123" s="20"/>
      <c r="AA123" s="20"/>
      <c r="AB123" s="20"/>
      <c r="AC123" s="20"/>
    </row>
    <row r="124" spans="2:29" ht="15" customHeight="1" x14ac:dyDescent="0.35">
      <c r="B124" s="65"/>
      <c r="C124" s="90"/>
      <c r="D124" s="85"/>
      <c r="E124" s="109"/>
      <c r="F124" s="109"/>
      <c r="G124" s="109"/>
      <c r="H124" s="110"/>
      <c r="I124" s="109"/>
      <c r="J124" s="110"/>
      <c r="K124" s="109"/>
      <c r="L124" s="65"/>
      <c r="M124" s="65"/>
      <c r="N124" s="20"/>
      <c r="O124" s="20"/>
      <c r="P124" s="21"/>
      <c r="Q124" s="20"/>
      <c r="R124" s="20"/>
      <c r="S124" s="20"/>
      <c r="T124" s="20"/>
      <c r="X124" s="20"/>
      <c r="Y124" s="20"/>
      <c r="Z124" s="20"/>
      <c r="AA124" s="20"/>
      <c r="AB124" s="20"/>
      <c r="AC124" s="20"/>
    </row>
    <row r="125" spans="2:29" s="20" customFormat="1" ht="3" customHeight="1" x14ac:dyDescent="0.35">
      <c r="C125" s="95"/>
      <c r="D125" s="105"/>
      <c r="E125" s="112"/>
      <c r="F125" s="112"/>
      <c r="G125" s="112"/>
      <c r="H125" s="113"/>
      <c r="I125" s="112"/>
      <c r="J125" s="113"/>
      <c r="K125" s="112"/>
      <c r="P125" s="21"/>
    </row>
    <row r="126" spans="2:29" ht="15" customHeight="1" x14ac:dyDescent="0.35">
      <c r="B126" s="65"/>
      <c r="C126" s="75" t="s">
        <v>333</v>
      </c>
      <c r="D126" s="100" t="s">
        <v>347</v>
      </c>
      <c r="E126" s="77">
        <f>IF($I$19="yes",(SUM(E127,E128,E135)/$E$14),(SUM(E127:E133)/$E$14))</f>
        <v>0.33536714029583331</v>
      </c>
      <c r="F126" s="77"/>
      <c r="G126" s="77">
        <f>IF($I$19="yes",(SUM(G127,G128,G135)/$E$14),(SUM(G127:G133)/$E$14))</f>
        <v>2.3418287490000002E-2</v>
      </c>
      <c r="H126" s="78"/>
      <c r="I126" s="77">
        <f>IF($I$19="yes",(SUM(I127,I128,I135)/$E$14),(SUM(I127:I133)/$E$14))</f>
        <v>7.9388542700000071E-3</v>
      </c>
      <c r="J126" s="78"/>
      <c r="K126" s="77">
        <f>IF($I$19="yes",(SUM(K127,K128,K129,K130,K135)/$E$14),(SUM(K127:K133)/$E$14))</f>
        <v>0.71268555705583325</v>
      </c>
      <c r="L126" s="77">
        <f>IF($I$19="yes",(SUM(K127,K128,K129,K130,K135)/1),(SUM(K127:K133)/1))</f>
        <v>14.253711141116666</v>
      </c>
      <c r="M126" s="65"/>
      <c r="N126" s="20"/>
      <c r="O126" s="20"/>
      <c r="P126" s="21"/>
      <c r="Q126" s="20"/>
      <c r="R126" s="20"/>
      <c r="S126" s="20"/>
      <c r="T126" s="20"/>
      <c r="X126" s="20"/>
      <c r="Y126" s="20"/>
      <c r="Z126" s="20"/>
      <c r="AA126" s="20"/>
      <c r="AB126" s="20"/>
      <c r="AC126" s="20"/>
    </row>
    <row r="127" spans="2:29" ht="15" customHeight="1" outlineLevel="1" x14ac:dyDescent="0.35">
      <c r="B127" s="65"/>
      <c r="C127" s="90"/>
      <c r="D127" s="80" t="s">
        <v>13</v>
      </c>
      <c r="E127" s="92">
        <f>(1-$E$8)*HLOOKUP($E$6,'DGbase données'!$A$1:$S$17,16,0)*$E$7</f>
        <v>0</v>
      </c>
      <c r="F127" s="92"/>
      <c r="G127" s="92">
        <f>(1-$G$8)*HLOOKUP($G$6,'DGbase données'!$A$1:$S$17,16,0)*$G$7</f>
        <v>0.22803443400000001</v>
      </c>
      <c r="H127" s="93"/>
      <c r="I127" s="92">
        <f>(1-$I$8)*HLOOKUP($I$6,'DGbase données'!$A$1:$S$17,16,0)*$I$7</f>
        <v>0.14282258800000011</v>
      </c>
      <c r="J127" s="93"/>
      <c r="K127" s="94">
        <f>SUM(E127:I127)</f>
        <v>0.37085702200000015</v>
      </c>
      <c r="L127" s="65"/>
      <c r="M127" s="65"/>
      <c r="N127" s="20"/>
      <c r="O127" s="20"/>
      <c r="P127" s="21"/>
      <c r="Q127" s="20"/>
      <c r="R127" s="20"/>
      <c r="S127" s="20"/>
      <c r="T127" s="20"/>
      <c r="X127" s="20"/>
      <c r="Y127" s="20"/>
      <c r="Z127" s="20"/>
      <c r="AA127" s="20"/>
      <c r="AB127" s="20"/>
      <c r="AC127" s="20"/>
    </row>
    <row r="128" spans="2:29" ht="15" customHeight="1" outlineLevel="1" x14ac:dyDescent="0.35">
      <c r="B128" s="65"/>
      <c r="C128" s="90"/>
      <c r="D128" s="80" t="s">
        <v>306</v>
      </c>
      <c r="E128" s="92">
        <f>$E$7*HLOOKUP($E$9,'DGbase données'!$A$19:$K$35,16,0)</f>
        <v>0.69147082850000008</v>
      </c>
      <c r="F128" s="92"/>
      <c r="G128" s="92">
        <f>$G$7*HLOOKUP($G$9,'DGbase données'!$A$19:$K$35,16,0)</f>
        <v>1.19326698E-2</v>
      </c>
      <c r="H128" s="93"/>
      <c r="I128" s="92">
        <f>$I$7*HLOOKUP($I$9,'DGbase données'!$A$19:$K$35,16,0)</f>
        <v>7.9551132000000076E-3</v>
      </c>
      <c r="J128" s="93"/>
      <c r="K128" s="94">
        <f>SUM(E128:I128)</f>
        <v>0.71135861150000002</v>
      </c>
      <c r="L128" s="65"/>
      <c r="M128" s="65"/>
      <c r="N128" s="20"/>
      <c r="O128" s="20"/>
      <c r="P128" s="21"/>
      <c r="Q128" s="20"/>
      <c r="R128" s="20"/>
      <c r="S128" s="20"/>
      <c r="T128" s="20"/>
      <c r="X128" s="20"/>
      <c r="Y128" s="20"/>
      <c r="Z128" s="20"/>
      <c r="AA128" s="20"/>
      <c r="AB128" s="20"/>
      <c r="AC128" s="20"/>
    </row>
    <row r="129" spans="2:29" ht="15" customHeight="1" outlineLevel="1" x14ac:dyDescent="0.35">
      <c r="B129" s="65"/>
      <c r="C129" s="90"/>
      <c r="D129" s="80" t="s">
        <v>312</v>
      </c>
      <c r="E129" s="108"/>
      <c r="F129" s="108"/>
      <c r="G129" s="92"/>
      <c r="H129" s="93"/>
      <c r="I129" s="92"/>
      <c r="J129" s="93"/>
      <c r="K129" s="83">
        <f>IF(ISBLANK($G$14),0,$E$3*HLOOKUP($G$14,'DGbase données'!$A$58:$G$74,16,0))</f>
        <v>6.9192255000000005</v>
      </c>
      <c r="L129" s="65"/>
      <c r="M129" s="65"/>
      <c r="N129" s="20"/>
      <c r="O129" s="20"/>
      <c r="P129" s="21"/>
      <c r="Q129" s="20"/>
      <c r="R129" s="20"/>
      <c r="S129" s="20"/>
      <c r="T129" s="20"/>
      <c r="X129" s="20"/>
      <c r="Y129" s="20"/>
      <c r="Z129" s="20"/>
      <c r="AA129" s="20"/>
      <c r="AB129" s="20"/>
      <c r="AC129" s="20"/>
    </row>
    <row r="130" spans="2:29" ht="15" customHeight="1" outlineLevel="1" x14ac:dyDescent="0.35">
      <c r="B130" s="65"/>
      <c r="C130" s="90"/>
      <c r="D130" s="80" t="s">
        <v>314</v>
      </c>
      <c r="E130" s="108"/>
      <c r="F130" s="108"/>
      <c r="G130" s="92"/>
      <c r="H130" s="92"/>
      <c r="I130" s="92"/>
      <c r="J130" s="92"/>
      <c r="K130" s="83">
        <f>IF(($I$14=0),0,$E$3*HLOOKUP($I$14,'DGbase données'!$A$58:$G$74,16,0))</f>
        <v>0</v>
      </c>
      <c r="L130" s="65"/>
      <c r="M130" s="65"/>
      <c r="N130" s="20"/>
      <c r="O130" s="20"/>
      <c r="P130" s="21"/>
      <c r="Q130" s="20"/>
      <c r="R130" s="20"/>
      <c r="S130" s="20"/>
      <c r="T130" s="20"/>
      <c r="X130" s="20"/>
      <c r="Y130" s="20"/>
      <c r="Z130" s="20"/>
      <c r="AA130" s="20"/>
      <c r="AB130" s="20"/>
      <c r="AC130" s="20"/>
    </row>
    <row r="131" spans="2:29" ht="15" customHeight="1" outlineLevel="1" x14ac:dyDescent="0.35">
      <c r="B131" s="65"/>
      <c r="C131" s="90"/>
      <c r="D131" s="80" t="s">
        <v>320</v>
      </c>
      <c r="E131" s="92" t="e">
        <f>HLOOKUP($E$6,DGbaseF2V!$A$76:$H$92,16,0)*$E$7</f>
        <v>#N/A</v>
      </c>
      <c r="F131" s="92"/>
      <c r="G131" s="92" t="e">
        <f>HLOOKUP($G$6,DGbaseF2V!$A$76:$H$92,16,0)*$G$7</f>
        <v>#N/A</v>
      </c>
      <c r="H131" s="93"/>
      <c r="I131" s="92" t="e">
        <f>HLOOKUP($I$6,DGbaseF2V!$A$76:$H$92,16,0)*$I$7</f>
        <v>#N/A</v>
      </c>
      <c r="J131" s="93"/>
      <c r="K131" s="94" t="e">
        <f>SUM(E131:I131)</f>
        <v>#N/A</v>
      </c>
      <c r="L131" s="65"/>
      <c r="M131" s="65"/>
      <c r="N131" s="20"/>
      <c r="O131" s="20"/>
      <c r="P131" s="21"/>
      <c r="Q131" s="20"/>
      <c r="R131" s="20"/>
      <c r="S131" s="20"/>
      <c r="T131" s="20"/>
      <c r="X131" s="20"/>
      <c r="Y131" s="20"/>
      <c r="Z131" s="20"/>
      <c r="AA131" s="20"/>
      <c r="AB131" s="20"/>
      <c r="AC131" s="20"/>
    </row>
    <row r="132" spans="2:29" ht="15" customHeight="1" outlineLevel="1" x14ac:dyDescent="0.35">
      <c r="B132" s="65"/>
      <c r="C132" s="90"/>
      <c r="D132" s="80" t="s">
        <v>337</v>
      </c>
      <c r="E132" s="92" t="e">
        <f>HLOOKUP($E$6,DGbaseF2V!$A$58:$H$74,16,0)*$E$7</f>
        <v>#N/A</v>
      </c>
      <c r="F132" s="92"/>
      <c r="G132" s="92">
        <f>HLOOKUP($G$6,DGbaseF2V!$A$58:$H$74,16,0)*$G$7</f>
        <v>-3.3520551000000001E-3</v>
      </c>
      <c r="H132" s="93"/>
      <c r="I132" s="92">
        <f>HLOOKUP($I$6,DGbaseF2V!$A$58:$H$74,16,0)*$I$7</f>
        <v>-2.2347034000000021E-3</v>
      </c>
      <c r="J132" s="93"/>
      <c r="K132" s="94" t="e">
        <f t="shared" ref="K132" si="6">SUM(E132:I132)</f>
        <v>#N/A</v>
      </c>
      <c r="L132" s="65"/>
      <c r="M132" s="65"/>
      <c r="N132" s="20"/>
      <c r="O132" s="20"/>
      <c r="P132" s="21"/>
      <c r="Q132" s="20"/>
      <c r="R132" s="20"/>
      <c r="S132" s="20"/>
      <c r="T132" s="20"/>
      <c r="X132" s="20"/>
      <c r="Y132" s="20"/>
      <c r="Z132" s="20"/>
      <c r="AA132" s="20"/>
      <c r="AB132" s="20"/>
      <c r="AC132" s="20"/>
    </row>
    <row r="133" spans="2:29" ht="15" customHeight="1" outlineLevel="1" x14ac:dyDescent="0.35">
      <c r="B133" s="65"/>
      <c r="C133" s="90"/>
      <c r="D133" s="80" t="s">
        <v>321</v>
      </c>
      <c r="E133" s="92" t="e">
        <f>HLOOKUP($E$6,DGbaseF2V!$A$22:$H$38,16,0)*$E$7</f>
        <v>#N/A</v>
      </c>
      <c r="F133" s="92"/>
      <c r="G133" s="92" t="e">
        <f>HLOOKUP($G$6,DGbaseF2V!$A$22:$H$38,16,0)*$G$7</f>
        <v>#N/A</v>
      </c>
      <c r="H133" s="93"/>
      <c r="I133" s="92">
        <f>HLOOKUP($I$6,DGbaseF2V!$A$22:$H$38,16,0)*$I$7</f>
        <v>7.9993842000000061E-3</v>
      </c>
      <c r="J133" s="93"/>
      <c r="K133" s="94" t="e">
        <f>SUM(E133:I133)</f>
        <v>#N/A</v>
      </c>
      <c r="L133" s="65"/>
      <c r="M133" s="65"/>
      <c r="N133" s="20"/>
      <c r="O133" s="20"/>
      <c r="P133" s="21"/>
      <c r="Q133" s="20"/>
      <c r="R133" s="20"/>
      <c r="S133" s="20"/>
      <c r="T133" s="20"/>
      <c r="X133" s="20"/>
      <c r="Y133" s="20"/>
      <c r="Z133" s="20"/>
      <c r="AA133" s="20"/>
      <c r="AB133" s="20"/>
      <c r="AC133" s="20"/>
    </row>
    <row r="134" spans="2:29" ht="15" customHeight="1" outlineLevel="1" x14ac:dyDescent="0.35">
      <c r="B134" s="65"/>
      <c r="C134" s="90"/>
      <c r="D134" s="80" t="s">
        <v>322</v>
      </c>
      <c r="E134" s="92" t="s">
        <v>338</v>
      </c>
      <c r="F134" s="92"/>
      <c r="G134" s="92" t="s">
        <v>338</v>
      </c>
      <c r="H134" s="93"/>
      <c r="I134" s="92" t="s">
        <v>338</v>
      </c>
      <c r="J134" s="93"/>
      <c r="K134" s="92" t="s">
        <v>338</v>
      </c>
      <c r="L134" s="65"/>
      <c r="M134" s="65"/>
      <c r="N134" s="20"/>
      <c r="O134" s="20"/>
      <c r="P134" s="21"/>
      <c r="Q134" s="20"/>
      <c r="R134" s="20"/>
      <c r="S134" s="20"/>
      <c r="T134" s="20"/>
      <c r="X134" s="20"/>
      <c r="Y134" s="20"/>
      <c r="Z134" s="20"/>
      <c r="AA134" s="20"/>
      <c r="AB134" s="20"/>
      <c r="AC134" s="20"/>
    </row>
    <row r="135" spans="2:29" ht="15" customHeight="1" outlineLevel="1" x14ac:dyDescent="0.35">
      <c r="B135" s="65"/>
      <c r="C135" s="90"/>
      <c r="D135" s="80" t="s">
        <v>339</v>
      </c>
      <c r="E135" s="92">
        <f>HLOOKUP($E$6,DGbaseF2V!$A$40:$S$56,16,0)*$E$7</f>
        <v>6.0158719774166665</v>
      </c>
      <c r="F135" s="92"/>
      <c r="G135" s="92">
        <f>HLOOKUP($G$6,DGbaseF2V!$A$40:$S$56,16,0)*$G$7</f>
        <v>0.22839864599999998</v>
      </c>
      <c r="H135" s="93"/>
      <c r="I135" s="92">
        <f>HLOOKUP($I$6,DGbaseF2V!$A$40:$S$56,16,0)*$I$7</f>
        <v>7.9993842000000061E-3</v>
      </c>
      <c r="J135" s="93"/>
      <c r="K135" s="83">
        <f>SUM(E135:I135)</f>
        <v>6.2522700076166657</v>
      </c>
      <c r="L135" s="65"/>
      <c r="M135" s="65"/>
      <c r="N135" s="20"/>
      <c r="O135" s="20"/>
      <c r="P135" s="21"/>
      <c r="Q135" s="20"/>
      <c r="R135" s="20"/>
      <c r="S135" s="20"/>
      <c r="T135" s="20"/>
      <c r="X135" s="20"/>
      <c r="Y135" s="20"/>
      <c r="Z135" s="20"/>
      <c r="AA135" s="20"/>
      <c r="AB135" s="20"/>
      <c r="AC135" s="20"/>
    </row>
    <row r="136" spans="2:29" ht="15" customHeight="1" outlineLevel="1" x14ac:dyDescent="0.35">
      <c r="B136" s="65"/>
      <c r="C136" s="90"/>
      <c r="D136" s="80" t="s">
        <v>340</v>
      </c>
      <c r="E136" s="104">
        <f>IF($E$7="","",E126/(((1-$E$8)*'DGbase données'!$C$54)+($E$7*SUM('DGbase données'!$E$54,'DGbase données'!$G$54))))</f>
        <v>2.6071527824881651E-3</v>
      </c>
      <c r="F136" s="104"/>
      <c r="G136" s="104">
        <f>IF($E$7="","",G126/(((1-$E$8)*'DGbase données'!$C$54)+($E$7*SUM('DGbase données'!$E$54,'DGbase données'!$G$54))))</f>
        <v>1.8205436983719856E-4</v>
      </c>
      <c r="H136" s="103"/>
      <c r="I136" s="104">
        <f>IF($E$7="","",I126/(((1-$E$8)*'DGbase données'!$C$54)+($E$7*SUM('DGbase données'!$E$54,'DGbase données'!$G$54))))</f>
        <v>6.1716857476080297E-5</v>
      </c>
      <c r="J136" s="103"/>
      <c r="K136" s="88">
        <f>(K129+K130)/(2*'DGbase données'!I54*$E$3)</f>
        <v>0.35547822696177744</v>
      </c>
      <c r="L136" s="89" t="s">
        <v>341</v>
      </c>
      <c r="M136" s="65"/>
      <c r="N136" s="20"/>
      <c r="O136" s="20"/>
      <c r="P136" s="21"/>
      <c r="Q136" s="20"/>
      <c r="R136" s="20"/>
      <c r="S136" s="20"/>
      <c r="T136" s="20"/>
      <c r="X136" s="20"/>
      <c r="Y136" s="20"/>
      <c r="Z136" s="20"/>
      <c r="AA136" s="20"/>
      <c r="AB136" s="20"/>
      <c r="AC136" s="20"/>
    </row>
    <row r="137" spans="2:29" ht="15" customHeight="1" x14ac:dyDescent="0.35">
      <c r="B137" s="65"/>
      <c r="C137" s="90"/>
      <c r="D137" s="85"/>
      <c r="E137" s="109"/>
      <c r="F137" s="109"/>
      <c r="G137" s="109"/>
      <c r="H137" s="110"/>
      <c r="I137" s="109"/>
      <c r="J137" s="110"/>
      <c r="K137" s="109"/>
      <c r="L137" s="65"/>
      <c r="M137" s="65"/>
      <c r="N137" s="20"/>
      <c r="O137" s="20"/>
      <c r="P137" s="21"/>
      <c r="Q137" s="20"/>
      <c r="R137" s="20"/>
      <c r="S137" s="20"/>
      <c r="T137" s="20"/>
      <c r="X137" s="20"/>
      <c r="Y137" s="20"/>
      <c r="Z137" s="20"/>
      <c r="AA137" s="20"/>
      <c r="AB137" s="20"/>
      <c r="AC137" s="20"/>
    </row>
    <row r="138" spans="2:29" s="20" customFormat="1" ht="3" customHeight="1" x14ac:dyDescent="0.35">
      <c r="C138" s="95"/>
      <c r="D138" s="105"/>
      <c r="E138" s="112"/>
      <c r="F138" s="112"/>
      <c r="G138" s="112"/>
      <c r="H138" s="113"/>
      <c r="I138" s="112"/>
      <c r="J138" s="113"/>
      <c r="K138" s="112"/>
      <c r="P138" s="21"/>
    </row>
    <row r="139" spans="2:29" ht="15" customHeight="1" x14ac:dyDescent="0.35">
      <c r="B139" s="65"/>
      <c r="C139" s="75" t="s">
        <v>334</v>
      </c>
      <c r="D139" s="100" t="s">
        <v>348</v>
      </c>
      <c r="E139" s="77">
        <f>IF($I$19="yes",(SUM(E140,E141,E148)/$E$14),(SUM(E140:E146)/$E$14))</f>
        <v>6.1046430015833336E-8</v>
      </c>
      <c r="F139" s="77"/>
      <c r="G139" s="77">
        <f>IF($I$19="yes",(SUM(G140,G141,G148)/$E$14),(SUM(G140:G146)/$E$14))</f>
        <v>4.5227915535000004E-9</v>
      </c>
      <c r="H139" s="78"/>
      <c r="I139" s="77">
        <f>IF($I$19="yes",(SUM(I140,I141,I148)/$E$14),(SUM(I140:I146)/$E$14))</f>
        <v>3.8175557250000042E-9</v>
      </c>
      <c r="J139" s="78"/>
      <c r="K139" s="77">
        <f>IF($I$19="yes",(SUM(K140,K141,K142,K143,K148)/$E$14),(SUM(K140:K146)/$E$14))</f>
        <v>1.5230263669433333E-7</v>
      </c>
      <c r="L139" s="77">
        <f>IF($I$19="yes",(SUM(K140,K141,K142,K143,K148)/1),(SUM(K140:K146)/1))</f>
        <v>3.0460527338866668E-6</v>
      </c>
      <c r="M139" s="65"/>
      <c r="N139" s="20"/>
      <c r="O139" s="20"/>
      <c r="P139" s="21"/>
      <c r="Q139" s="20"/>
      <c r="R139" s="20"/>
      <c r="S139" s="20"/>
      <c r="T139" s="20"/>
      <c r="X139" s="20"/>
      <c r="Y139" s="20"/>
      <c r="Z139" s="20"/>
      <c r="AA139" s="20"/>
      <c r="AB139" s="20"/>
      <c r="AC139" s="20"/>
    </row>
    <row r="140" spans="2:29" s="20" customFormat="1" ht="15" customHeight="1" outlineLevel="1" x14ac:dyDescent="0.35">
      <c r="B140" s="65"/>
      <c r="C140" s="90"/>
      <c r="D140" s="80" t="s">
        <v>13</v>
      </c>
      <c r="E140" s="92">
        <f>(1-$E$8)*HLOOKUP($E$6,'DGbase données'!$A$1:$S$17,17,0)*$E$7</f>
        <v>0</v>
      </c>
      <c r="F140" s="92"/>
      <c r="G140" s="92">
        <f>(1-$G$8)*HLOOKUP($G$6,'DGbase données'!$A$1:$S$17,17,0)*$G$7</f>
        <v>4.3750254E-8</v>
      </c>
      <c r="H140" s="93"/>
      <c r="I140" s="92">
        <f>(1-$I$8)*HLOOKUP($I$6,'DGbase données'!$A$1:$S$17,17,0)*$I$7</f>
        <v>7.3120914000000069E-8</v>
      </c>
      <c r="J140" s="93"/>
      <c r="K140" s="94">
        <f>SUM(E140:I140)</f>
        <v>1.1687116800000007E-7</v>
      </c>
      <c r="L140" s="77"/>
      <c r="M140" s="65"/>
      <c r="P140" s="21"/>
    </row>
    <row r="141" spans="2:29" ht="15" customHeight="1" outlineLevel="1" x14ac:dyDescent="0.35">
      <c r="B141" s="65"/>
      <c r="C141" s="90"/>
      <c r="D141" s="80" t="s">
        <v>306</v>
      </c>
      <c r="E141" s="92">
        <f>$E$7*HLOOKUP($E$9,'DGbase données'!$A$19:$K$35,17,0)</f>
        <v>6.9314651450000004E-8</v>
      </c>
      <c r="F141" s="92"/>
      <c r="G141" s="92">
        <f>$G$7*HLOOKUP($G$9,'DGbase données'!$A$19:$K$35,17,0)</f>
        <v>2.8465640699999999E-9</v>
      </c>
      <c r="H141" s="93"/>
      <c r="I141" s="92">
        <f>$I$7*HLOOKUP($I$9,'DGbase données'!$A$19:$K$35,17,0)</f>
        <v>1.8977093800000018E-9</v>
      </c>
      <c r="J141" s="93"/>
      <c r="K141" s="94">
        <f>SUM(E141:I141)</f>
        <v>7.4058924900000012E-8</v>
      </c>
      <c r="L141" s="65"/>
      <c r="M141" s="65"/>
      <c r="N141" s="20"/>
      <c r="O141" s="20"/>
      <c r="P141" s="21"/>
      <c r="Q141" s="20"/>
      <c r="R141" s="20"/>
      <c r="S141" s="20"/>
      <c r="T141" s="20"/>
      <c r="X141" s="20"/>
      <c r="Y141" s="20"/>
      <c r="Z141" s="20"/>
      <c r="AA141" s="20"/>
      <c r="AB141" s="20"/>
      <c r="AC141" s="20"/>
    </row>
    <row r="142" spans="2:29" ht="15" customHeight="1" outlineLevel="1" x14ac:dyDescent="0.35">
      <c r="B142" s="65"/>
      <c r="C142" s="90"/>
      <c r="D142" s="80" t="s">
        <v>312</v>
      </c>
      <c r="E142" s="108"/>
      <c r="F142" s="108"/>
      <c r="G142" s="92"/>
      <c r="H142" s="93"/>
      <c r="I142" s="92"/>
      <c r="J142" s="93"/>
      <c r="K142" s="83">
        <f>IF(ISBLANK($G$14),0,$E$3*HLOOKUP($G$14,'DGbase données'!$A$58:$G$74,17,0))</f>
        <v>1.6583171880000002E-6</v>
      </c>
      <c r="L142" s="65"/>
      <c r="M142" s="65"/>
      <c r="N142" s="20"/>
      <c r="O142" s="20"/>
      <c r="P142" s="21"/>
      <c r="Q142" s="20"/>
      <c r="R142" s="20"/>
      <c r="S142" s="20"/>
      <c r="T142" s="20"/>
      <c r="X142" s="20"/>
      <c r="Y142" s="20"/>
      <c r="Z142" s="20"/>
      <c r="AA142" s="20"/>
      <c r="AB142" s="20"/>
      <c r="AC142" s="20"/>
    </row>
    <row r="143" spans="2:29" ht="15" customHeight="1" outlineLevel="1" x14ac:dyDescent="0.35">
      <c r="B143" s="65"/>
      <c r="C143" s="90"/>
      <c r="D143" s="80" t="s">
        <v>314</v>
      </c>
      <c r="E143" s="108"/>
      <c r="F143" s="108"/>
      <c r="G143" s="92"/>
      <c r="H143" s="92"/>
      <c r="I143" s="92"/>
      <c r="J143" s="92"/>
      <c r="K143" s="83">
        <f>IF(($I$14=0),0,$E$3*HLOOKUP($I$14,'DGbase données'!$A$58:$G$74,17,0))</f>
        <v>0</v>
      </c>
      <c r="L143" s="65"/>
      <c r="M143" s="65"/>
      <c r="N143" s="20"/>
      <c r="O143" s="20"/>
      <c r="P143" s="21"/>
      <c r="Q143" s="20"/>
      <c r="R143" s="20"/>
      <c r="S143" s="20"/>
      <c r="T143" s="20"/>
      <c r="X143" s="20"/>
      <c r="Y143" s="20"/>
      <c r="Z143" s="20"/>
      <c r="AA143" s="20"/>
      <c r="AB143" s="20"/>
      <c r="AC143" s="20"/>
    </row>
    <row r="144" spans="2:29" ht="15" customHeight="1" outlineLevel="1" x14ac:dyDescent="0.35">
      <c r="B144" s="65"/>
      <c r="C144" s="90"/>
      <c r="D144" s="80" t="s">
        <v>320</v>
      </c>
      <c r="E144" s="92" t="e">
        <f>HLOOKUP($E$6,DGbaseF2V!$A$76:$H$92,17,0)*$E$7</f>
        <v>#N/A</v>
      </c>
      <c r="F144" s="92"/>
      <c r="G144" s="92" t="e">
        <f>HLOOKUP($G$6,DGbaseF2V!$A$76:$H$92,17,0)*$G$7</f>
        <v>#N/A</v>
      </c>
      <c r="H144" s="93"/>
      <c r="I144" s="92" t="e">
        <f>HLOOKUP($I$6,DGbaseF2V!$A$76:$H$92,17,0)*$I$7</f>
        <v>#N/A</v>
      </c>
      <c r="J144" s="93"/>
      <c r="K144" s="94" t="e">
        <f>SUM(E144:I144)</f>
        <v>#N/A</v>
      </c>
      <c r="L144" s="65"/>
      <c r="M144" s="65"/>
      <c r="N144" s="20"/>
      <c r="O144" s="20"/>
      <c r="P144" s="21"/>
      <c r="Q144" s="20"/>
      <c r="R144" s="20"/>
      <c r="S144" s="20"/>
      <c r="T144" s="20"/>
      <c r="X144" s="20"/>
      <c r="Y144" s="20"/>
      <c r="Z144" s="20"/>
      <c r="AA144" s="20"/>
      <c r="AB144" s="20"/>
      <c r="AC144" s="20"/>
    </row>
    <row r="145" spans="2:29" ht="15" customHeight="1" outlineLevel="1" x14ac:dyDescent="0.35">
      <c r="B145" s="65"/>
      <c r="C145" s="90"/>
      <c r="D145" s="80" t="s">
        <v>337</v>
      </c>
      <c r="E145" s="92" t="e">
        <f>HLOOKUP($E$6,DGbaseF2V!$A$58:$H$74,17,0)*$E$7</f>
        <v>#N/A</v>
      </c>
      <c r="F145" s="92"/>
      <c r="G145" s="92">
        <f>HLOOKUP($G$6,DGbaseF2V!$A$58:$H$74,17,0)*$G$7</f>
        <v>-1.6415402100000002E-11</v>
      </c>
      <c r="H145" s="93"/>
      <c r="I145" s="92">
        <f>HLOOKUP($I$6,DGbaseF2V!$A$58:$H$74,17,0)*$I$7</f>
        <v>-1.0943601400000011E-11</v>
      </c>
      <c r="J145" s="93"/>
      <c r="K145" s="94" t="e">
        <f t="shared" ref="K145" si="7">SUM(E145:I145)</f>
        <v>#N/A</v>
      </c>
      <c r="L145" s="65"/>
      <c r="M145" s="65"/>
      <c r="N145" s="20"/>
      <c r="O145" s="20"/>
      <c r="P145" s="21"/>
      <c r="Q145" s="20"/>
      <c r="R145" s="20"/>
      <c r="S145" s="20"/>
      <c r="T145" s="20"/>
      <c r="X145" s="20"/>
      <c r="Y145" s="20"/>
      <c r="Z145" s="20"/>
      <c r="AA145" s="20"/>
      <c r="AB145" s="20"/>
      <c r="AC145" s="20"/>
    </row>
    <row r="146" spans="2:29" ht="15" customHeight="1" outlineLevel="1" x14ac:dyDescent="0.35">
      <c r="B146" s="65"/>
      <c r="C146" s="90"/>
      <c r="D146" s="80" t="s">
        <v>321</v>
      </c>
      <c r="E146" s="92" t="e">
        <f>HLOOKUP($E$6,DGbaseF2V!$A$22:$H$38,17,0)*$E$7</f>
        <v>#N/A</v>
      </c>
      <c r="F146" s="92"/>
      <c r="G146" s="92" t="e">
        <f>HLOOKUP($G$6,DGbaseF2V!$A$22:$H$38,17,0)*$G$7</f>
        <v>#N/A</v>
      </c>
      <c r="H146" s="93"/>
      <c r="I146" s="92">
        <f>HLOOKUP($I$6,DGbaseF2V!$A$22:$H$38,17,0)*$I$7</f>
        <v>1.3324911200000011E-9</v>
      </c>
      <c r="J146" s="93"/>
      <c r="K146" s="94" t="e">
        <f>SUM(E146:I146)</f>
        <v>#N/A</v>
      </c>
      <c r="L146" s="65"/>
      <c r="M146" s="65"/>
      <c r="N146" s="20"/>
      <c r="O146" s="20"/>
      <c r="P146" s="21"/>
      <c r="Q146" s="20"/>
      <c r="R146" s="20"/>
      <c r="S146" s="20"/>
      <c r="T146" s="20"/>
      <c r="X146" s="20"/>
      <c r="Y146" s="20"/>
      <c r="Z146" s="20"/>
      <c r="AA146" s="20"/>
      <c r="AB146" s="20"/>
      <c r="AC146" s="20"/>
    </row>
    <row r="147" spans="2:29" ht="15" customHeight="1" outlineLevel="1" x14ac:dyDescent="0.35">
      <c r="B147" s="65"/>
      <c r="C147" s="90"/>
      <c r="D147" s="80" t="s">
        <v>322</v>
      </c>
      <c r="E147" s="92" t="s">
        <v>338</v>
      </c>
      <c r="F147" s="92"/>
      <c r="G147" s="92" t="s">
        <v>338</v>
      </c>
      <c r="H147" s="93"/>
      <c r="I147" s="92" t="s">
        <v>338</v>
      </c>
      <c r="J147" s="93"/>
      <c r="K147" s="92" t="s">
        <v>338</v>
      </c>
      <c r="L147" s="65"/>
      <c r="M147" s="65"/>
      <c r="N147" s="20"/>
      <c r="O147" s="20"/>
      <c r="P147" s="21"/>
      <c r="Q147" s="20"/>
      <c r="R147" s="20"/>
      <c r="S147" s="20"/>
      <c r="T147" s="20"/>
      <c r="X147" s="20"/>
      <c r="Y147" s="20"/>
      <c r="Z147" s="20"/>
      <c r="AA147" s="20"/>
      <c r="AB147" s="20"/>
      <c r="AC147" s="20"/>
    </row>
    <row r="148" spans="2:29" ht="15" customHeight="1" outlineLevel="1" x14ac:dyDescent="0.35">
      <c r="B148" s="65"/>
      <c r="C148" s="90"/>
      <c r="D148" s="80" t="s">
        <v>339</v>
      </c>
      <c r="E148" s="92">
        <f>HLOOKUP($E$6,DGbaseF2V!$A$40:$S$56,17,0)*$E$7</f>
        <v>1.1516139488666666E-6</v>
      </c>
      <c r="F148" s="92"/>
      <c r="G148" s="92">
        <f>HLOOKUP($G$6,DGbaseF2V!$A$40:$S$56,17,0)*$G$7</f>
        <v>4.3859013000000003E-8</v>
      </c>
      <c r="H148" s="93"/>
      <c r="I148" s="92">
        <f>HLOOKUP($I$6,DGbaseF2V!$A$40:$S$56,17,0)*$I$7</f>
        <v>1.3324911200000011E-9</v>
      </c>
      <c r="J148" s="93"/>
      <c r="K148" s="83">
        <f>SUM(E148:I148)</f>
        <v>1.1968054529866665E-6</v>
      </c>
      <c r="L148" s="65"/>
      <c r="M148" s="65"/>
      <c r="N148" s="20"/>
      <c r="O148" s="20"/>
      <c r="P148" s="21"/>
      <c r="Q148" s="20"/>
      <c r="R148" s="20"/>
      <c r="S148" s="20"/>
      <c r="T148" s="20"/>
      <c r="X148" s="20"/>
      <c r="Y148" s="20"/>
      <c r="Z148" s="20"/>
      <c r="AA148" s="20"/>
      <c r="AB148" s="20"/>
      <c r="AC148" s="20"/>
    </row>
    <row r="149" spans="2:29" ht="15" customHeight="1" outlineLevel="1" x14ac:dyDescent="0.35">
      <c r="B149" s="65"/>
      <c r="C149" s="90"/>
      <c r="D149" s="85" t="s">
        <v>340</v>
      </c>
      <c r="E149" s="104">
        <f>IF($E$7="","",E139/(((1-$E$8)*'DGbase données'!$C$55)+($E$7*SUM('DGbase données'!$E$55,'DGbase données'!$G$55))))</f>
        <v>2.0544042910539744E-4</v>
      </c>
      <c r="F149" s="104"/>
      <c r="G149" s="104">
        <f>IF($E$7="","",G139/(((1-$E$8)*'DGbase données'!$C$55)+($E$7*SUM('DGbase données'!$E$55,'DGbase données'!$G$55))))</f>
        <v>1.5220615476847934E-5</v>
      </c>
      <c r="H149" s="103"/>
      <c r="I149" s="104">
        <f>IF($E$7="","",I139/(((1-$E$8)*'DGbase données'!$C$55)+($E$7*SUM('DGbase données'!$E$55,'DGbase données'!$G$55))))</f>
        <v>1.2847275198145939E-5</v>
      </c>
      <c r="J149" s="103"/>
      <c r="K149" s="88">
        <f>(K142+K143)/(2*'DGbase données'!I55*$E$3)</f>
        <v>0.5</v>
      </c>
      <c r="L149" s="89" t="s">
        <v>341</v>
      </c>
      <c r="M149" s="65"/>
      <c r="N149" s="20"/>
      <c r="O149" s="20"/>
      <c r="P149" s="21"/>
      <c r="Q149" s="20"/>
      <c r="R149" s="20"/>
      <c r="S149" s="20"/>
      <c r="T149" s="20"/>
      <c r="X149" s="20"/>
      <c r="Y149" s="20"/>
      <c r="Z149" s="20"/>
      <c r="AA149" s="20"/>
      <c r="AB149" s="20"/>
      <c r="AC149" s="20"/>
    </row>
    <row r="150" spans="2:29" ht="18" x14ac:dyDescent="0.35">
      <c r="B150" s="65"/>
      <c r="C150" s="90"/>
      <c r="D150" s="114"/>
      <c r="E150" s="115"/>
      <c r="F150" s="116"/>
      <c r="G150" s="115"/>
      <c r="H150" s="117"/>
      <c r="I150" s="115"/>
      <c r="J150" s="117"/>
      <c r="K150" s="115"/>
      <c r="L150" s="65"/>
      <c r="M150" s="65"/>
      <c r="N150" s="20"/>
      <c r="O150" s="20"/>
      <c r="P150" s="21"/>
      <c r="Q150" s="20"/>
      <c r="R150" s="20"/>
      <c r="S150" s="20"/>
      <c r="T150" s="20"/>
      <c r="X150" s="20"/>
      <c r="Y150" s="20"/>
      <c r="Z150" s="20"/>
      <c r="AA150" s="20"/>
      <c r="AB150" s="20"/>
      <c r="AC150" s="20"/>
    </row>
    <row r="151" spans="2:29" ht="13.95" customHeight="1" x14ac:dyDescent="0.35">
      <c r="B151" s="20"/>
      <c r="C151" s="95"/>
      <c r="D151" s="20"/>
      <c r="E151" s="20"/>
      <c r="F151" s="20"/>
      <c r="G151" s="20"/>
      <c r="H151" s="20"/>
      <c r="I151" s="20"/>
      <c r="J151" s="20"/>
      <c r="K151" s="21"/>
      <c r="L151" s="20"/>
      <c r="M151" s="20"/>
      <c r="N151" s="20"/>
      <c r="O151" s="20"/>
      <c r="P151" s="21"/>
      <c r="Q151" s="20"/>
      <c r="R151" s="20"/>
      <c r="S151" s="20"/>
      <c r="T151" s="20"/>
      <c r="X151" s="20"/>
      <c r="Y151" s="20"/>
      <c r="Z151" s="20"/>
      <c r="AA151" s="20"/>
      <c r="AB151" s="20"/>
      <c r="AC151" s="20"/>
    </row>
    <row r="152" spans="2:29" ht="13.95" customHeight="1" x14ac:dyDescent="0.3">
      <c r="B152" s="20"/>
      <c r="C152" s="20"/>
      <c r="D152" s="20"/>
      <c r="E152" s="20"/>
      <c r="F152" s="20"/>
      <c r="G152" s="20"/>
      <c r="H152" s="20"/>
      <c r="I152" s="20"/>
      <c r="J152" s="20"/>
      <c r="K152" s="118"/>
      <c r="L152" s="20"/>
      <c r="M152" s="20"/>
      <c r="N152" s="20"/>
      <c r="O152" s="20"/>
      <c r="P152" s="21"/>
      <c r="Q152" s="20"/>
      <c r="R152" s="20"/>
      <c r="S152" s="20"/>
      <c r="T152" s="20"/>
      <c r="X152" s="20"/>
      <c r="Y152" s="20"/>
      <c r="Z152" s="20"/>
      <c r="AA152" s="20"/>
      <c r="AB152" s="20"/>
      <c r="AC152" s="20"/>
    </row>
    <row r="153" spans="2:29" ht="13.95" customHeight="1" x14ac:dyDescent="0.3">
      <c r="B153" s="20"/>
      <c r="C153" s="20"/>
      <c r="D153" s="20"/>
      <c r="E153" s="20"/>
      <c r="F153" s="20"/>
      <c r="G153" s="20"/>
      <c r="H153" s="20"/>
      <c r="I153" s="20"/>
      <c r="J153" s="20"/>
      <c r="K153" s="21"/>
      <c r="L153" s="20"/>
      <c r="M153" s="20"/>
      <c r="N153" s="20"/>
      <c r="O153" s="20"/>
      <c r="P153" s="21"/>
      <c r="Q153" s="20"/>
      <c r="R153" s="20"/>
      <c r="S153" s="20"/>
      <c r="T153" s="20"/>
      <c r="X153" s="20"/>
      <c r="Y153" s="20"/>
      <c r="Z153" s="20"/>
      <c r="AA153" s="20"/>
      <c r="AB153" s="20"/>
      <c r="AC153" s="20"/>
    </row>
    <row r="154" spans="2:29" ht="156" customHeight="1" x14ac:dyDescent="0.3">
      <c r="B154" s="20"/>
      <c r="C154" s="20"/>
      <c r="D154" s="20"/>
      <c r="E154" s="20"/>
      <c r="F154" s="20"/>
      <c r="G154" s="20"/>
      <c r="H154" s="20"/>
      <c r="I154" s="20"/>
      <c r="J154" s="119"/>
      <c r="K154" s="21"/>
      <c r="L154" s="20"/>
      <c r="M154" s="20"/>
      <c r="N154" s="20"/>
      <c r="O154" s="20"/>
      <c r="P154" s="21"/>
      <c r="Q154" s="20"/>
      <c r="R154" s="20"/>
      <c r="S154" s="20"/>
      <c r="T154" s="20"/>
      <c r="X154" s="20"/>
      <c r="Y154" s="20"/>
      <c r="Z154" s="20"/>
      <c r="AA154" s="20"/>
      <c r="AB154" s="20"/>
      <c r="AC154" s="20"/>
    </row>
    <row r="155" spans="2:29" ht="13.95" customHeight="1" x14ac:dyDescent="0.3">
      <c r="B155" s="20"/>
      <c r="C155" s="20"/>
      <c r="D155" s="20"/>
      <c r="E155" s="20"/>
      <c r="F155" s="20"/>
      <c r="G155" s="20"/>
      <c r="H155" s="20"/>
      <c r="I155" s="20"/>
      <c r="J155" s="20"/>
      <c r="K155" s="21"/>
      <c r="L155" s="20"/>
      <c r="M155" s="20"/>
      <c r="N155" s="20"/>
      <c r="O155" s="20"/>
      <c r="P155" s="21"/>
      <c r="Q155" s="20"/>
      <c r="R155" s="20"/>
      <c r="S155" s="20"/>
      <c r="T155" s="20"/>
      <c r="X155" s="20"/>
      <c r="Y155" s="20"/>
      <c r="Z155" s="20"/>
      <c r="AA155" s="20"/>
      <c r="AB155" s="20"/>
      <c r="AC155" s="20"/>
    </row>
    <row r="156" spans="2:29" ht="13.95" customHeight="1" x14ac:dyDescent="0.3">
      <c r="B156" s="20"/>
      <c r="C156" s="20"/>
      <c r="D156" s="20"/>
      <c r="E156" s="20"/>
      <c r="F156" s="20"/>
      <c r="G156" s="20"/>
      <c r="H156" s="20"/>
      <c r="I156" s="20"/>
      <c r="J156" s="20"/>
      <c r="K156" s="21"/>
      <c r="L156" s="20"/>
      <c r="M156" s="20"/>
      <c r="N156" s="20"/>
      <c r="O156" s="20"/>
      <c r="P156" s="21"/>
      <c r="Q156" s="20"/>
      <c r="R156" s="20"/>
      <c r="S156" s="20"/>
      <c r="T156" s="20"/>
      <c r="X156" s="20"/>
      <c r="Y156" s="20"/>
      <c r="Z156" s="20"/>
      <c r="AA156" s="20"/>
      <c r="AB156" s="20"/>
      <c r="AC156" s="20"/>
    </row>
    <row r="157" spans="2:29" ht="13.95" customHeight="1" x14ac:dyDescent="0.3">
      <c r="B157" s="20"/>
      <c r="C157" s="20"/>
      <c r="D157" s="20"/>
      <c r="E157" s="20"/>
      <c r="F157" s="20"/>
      <c r="G157" s="20"/>
      <c r="H157" s="20"/>
      <c r="I157" s="20"/>
      <c r="J157" s="20"/>
      <c r="K157" s="21"/>
      <c r="L157" s="20"/>
      <c r="M157" s="20"/>
      <c r="N157" s="20"/>
      <c r="O157" s="20"/>
      <c r="P157" s="21"/>
      <c r="Q157" s="20"/>
      <c r="R157" s="20"/>
      <c r="S157" s="20"/>
      <c r="T157" s="20"/>
      <c r="X157" s="20"/>
      <c r="Y157" s="20"/>
      <c r="Z157" s="20"/>
      <c r="AA157" s="20"/>
      <c r="AB157" s="20"/>
      <c r="AC157" s="20"/>
    </row>
    <row r="158" spans="2:29" ht="13.95" customHeight="1" x14ac:dyDescent="0.3">
      <c r="B158" s="20"/>
      <c r="C158" s="20"/>
      <c r="D158" s="20"/>
      <c r="E158" s="20"/>
      <c r="F158" s="20"/>
      <c r="G158" s="20"/>
      <c r="H158" s="20"/>
      <c r="I158" s="20"/>
      <c r="J158" s="20"/>
      <c r="K158" s="21"/>
      <c r="L158" s="20"/>
      <c r="M158" s="20"/>
      <c r="N158" s="20"/>
      <c r="O158" s="20"/>
      <c r="P158" s="21"/>
      <c r="Q158" s="20"/>
      <c r="R158" s="20"/>
      <c r="S158" s="20"/>
      <c r="T158" s="20"/>
      <c r="X158" s="20"/>
      <c r="Y158" s="20"/>
      <c r="Z158" s="20"/>
      <c r="AA158" s="20"/>
      <c r="AB158" s="20"/>
      <c r="AC158" s="20"/>
    </row>
    <row r="159" spans="2:29" ht="13.95" customHeight="1" x14ac:dyDescent="0.3">
      <c r="B159" s="20"/>
      <c r="C159" s="20"/>
      <c r="D159" s="20"/>
      <c r="E159" s="20"/>
      <c r="F159" s="20"/>
      <c r="G159" s="20"/>
      <c r="H159" s="20"/>
      <c r="I159" s="20"/>
      <c r="J159" s="20"/>
      <c r="K159" s="21"/>
      <c r="L159" s="20"/>
      <c r="M159" s="20"/>
      <c r="N159" s="20"/>
      <c r="O159" s="20"/>
      <c r="P159" s="21"/>
      <c r="Q159" s="20"/>
      <c r="R159" s="20"/>
      <c r="S159" s="20"/>
      <c r="T159" s="20"/>
      <c r="X159" s="20"/>
      <c r="Y159" s="20"/>
      <c r="Z159" s="20"/>
      <c r="AA159" s="20"/>
      <c r="AB159" s="20"/>
      <c r="AC159" s="20"/>
    </row>
    <row r="160" spans="2:29" ht="13.95" customHeight="1" x14ac:dyDescent="0.3">
      <c r="B160" s="20"/>
      <c r="C160" s="20"/>
      <c r="D160" s="20"/>
      <c r="E160" s="20"/>
      <c r="F160" s="20"/>
      <c r="G160" s="20"/>
      <c r="H160" s="20"/>
      <c r="I160" s="20"/>
      <c r="J160" s="20"/>
      <c r="K160" s="21"/>
      <c r="L160" s="20"/>
      <c r="M160" s="20"/>
      <c r="N160" s="20"/>
      <c r="O160" s="20"/>
      <c r="P160" s="21"/>
      <c r="Q160" s="20"/>
      <c r="R160" s="20"/>
      <c r="S160" s="20"/>
      <c r="T160" s="20"/>
      <c r="X160" s="20"/>
      <c r="Y160" s="20"/>
      <c r="Z160" s="20"/>
      <c r="AA160" s="20"/>
      <c r="AB160" s="20"/>
      <c r="AC160" s="20"/>
    </row>
    <row r="161" spans="2:29" ht="13.95" customHeight="1" x14ac:dyDescent="0.3">
      <c r="B161" s="20"/>
      <c r="C161" s="20"/>
      <c r="D161" s="20"/>
      <c r="E161" s="20"/>
      <c r="F161" s="20"/>
      <c r="G161" s="20"/>
      <c r="H161" s="20"/>
      <c r="I161" s="20"/>
      <c r="J161" s="20"/>
      <c r="K161" s="21"/>
      <c r="L161" s="20"/>
      <c r="M161" s="20"/>
      <c r="N161" s="20"/>
      <c r="O161" s="20"/>
      <c r="P161" s="21"/>
      <c r="Q161" s="20"/>
      <c r="R161" s="20"/>
      <c r="S161" s="20"/>
      <c r="T161" s="20"/>
      <c r="X161" s="20"/>
      <c r="Y161" s="20"/>
      <c r="Z161" s="20"/>
      <c r="AA161" s="20"/>
      <c r="AB161" s="20"/>
      <c r="AC161" s="20"/>
    </row>
    <row r="162" spans="2:29" ht="13.95" customHeight="1" x14ac:dyDescent="0.3">
      <c r="B162" s="20"/>
      <c r="C162" s="20"/>
      <c r="D162" s="20"/>
      <c r="E162" s="20"/>
      <c r="F162" s="20"/>
      <c r="G162" s="20"/>
      <c r="H162" s="20"/>
      <c r="I162" s="20"/>
      <c r="J162" s="20"/>
      <c r="K162" s="21"/>
      <c r="L162" s="20"/>
      <c r="M162" s="20"/>
      <c r="N162" s="20"/>
      <c r="O162" s="20"/>
      <c r="P162" s="21"/>
      <c r="Q162" s="20"/>
      <c r="R162" s="20"/>
      <c r="S162" s="20"/>
      <c r="T162" s="20"/>
      <c r="X162" s="20"/>
      <c r="Y162" s="20"/>
      <c r="Z162" s="20"/>
      <c r="AA162" s="20"/>
      <c r="AB162" s="20"/>
      <c r="AC162" s="20"/>
    </row>
    <row r="163" spans="2:29" ht="13.95" customHeight="1" x14ac:dyDescent="0.3">
      <c r="B163" s="20"/>
      <c r="C163" s="20"/>
      <c r="D163" s="20"/>
      <c r="E163" s="20"/>
      <c r="F163" s="20"/>
      <c r="G163" s="20"/>
      <c r="H163" s="20"/>
      <c r="I163" s="20"/>
      <c r="J163" s="20"/>
      <c r="K163" s="21"/>
      <c r="L163" s="20"/>
      <c r="M163" s="20"/>
      <c r="N163" s="20"/>
      <c r="O163" s="20"/>
      <c r="P163" s="21"/>
      <c r="Q163" s="20"/>
      <c r="R163" s="20"/>
      <c r="S163" s="20"/>
      <c r="T163" s="20"/>
      <c r="X163" s="20"/>
      <c r="Y163" s="20"/>
      <c r="Z163" s="20"/>
      <c r="AA163" s="20"/>
      <c r="AB163" s="20"/>
      <c r="AC163" s="20"/>
    </row>
    <row r="164" spans="2:29" ht="13.95" customHeight="1" x14ac:dyDescent="0.3">
      <c r="B164" s="20"/>
      <c r="C164" s="20"/>
      <c r="D164" s="20"/>
      <c r="E164" s="20"/>
      <c r="F164" s="20"/>
      <c r="G164" s="20"/>
      <c r="H164" s="20"/>
      <c r="I164" s="20"/>
      <c r="J164" s="20"/>
      <c r="K164" s="21"/>
      <c r="L164" s="20"/>
      <c r="M164" s="20"/>
      <c r="N164" s="20"/>
      <c r="O164" s="20"/>
      <c r="P164" s="21"/>
      <c r="Q164" s="20"/>
      <c r="R164" s="20"/>
      <c r="S164" s="20"/>
      <c r="T164" s="20"/>
      <c r="X164" s="20"/>
      <c r="Y164" s="20"/>
      <c r="Z164" s="20"/>
      <c r="AA164" s="20"/>
      <c r="AB164" s="20"/>
      <c r="AC164" s="20"/>
    </row>
    <row r="165" spans="2:29" ht="13.95" customHeight="1" x14ac:dyDescent="0.3">
      <c r="B165" s="20"/>
      <c r="C165" s="20"/>
      <c r="D165" s="20"/>
      <c r="E165" s="20"/>
      <c r="F165" s="20"/>
      <c r="G165" s="20"/>
      <c r="H165" s="20"/>
      <c r="I165" s="20"/>
      <c r="J165" s="20"/>
      <c r="K165" s="21"/>
      <c r="L165" s="20"/>
      <c r="M165" s="20"/>
      <c r="N165" s="20"/>
      <c r="O165" s="20"/>
      <c r="P165" s="21"/>
      <c r="Q165" s="20"/>
      <c r="R165" s="20"/>
      <c r="S165" s="20"/>
      <c r="T165" s="20"/>
      <c r="X165" s="20"/>
      <c r="Y165" s="20"/>
      <c r="Z165" s="20"/>
      <c r="AA165" s="20"/>
      <c r="AB165" s="20"/>
      <c r="AC165" s="20"/>
    </row>
    <row r="166" spans="2:29" ht="13.95" customHeight="1" x14ac:dyDescent="0.3">
      <c r="B166" s="20"/>
      <c r="C166" s="20"/>
      <c r="D166" s="20"/>
      <c r="E166" s="20"/>
      <c r="F166" s="20"/>
      <c r="G166" s="20"/>
      <c r="H166" s="20"/>
      <c r="I166" s="20"/>
      <c r="J166" s="20"/>
      <c r="K166" s="21"/>
      <c r="L166" s="20"/>
      <c r="M166" s="20"/>
      <c r="N166" s="20"/>
      <c r="O166" s="20"/>
      <c r="P166" s="21"/>
      <c r="Q166" s="20"/>
      <c r="R166" s="20"/>
      <c r="S166" s="20"/>
      <c r="T166" s="20"/>
      <c r="X166" s="20"/>
      <c r="Y166" s="20"/>
      <c r="Z166" s="20"/>
      <c r="AA166" s="20"/>
      <c r="AB166" s="20"/>
      <c r="AC166" s="20"/>
    </row>
    <row r="167" spans="2:29" ht="13.95" customHeight="1" x14ac:dyDescent="0.3">
      <c r="B167" s="20"/>
      <c r="C167" s="20"/>
      <c r="D167" s="20"/>
      <c r="E167" s="20"/>
      <c r="F167" s="20"/>
      <c r="G167" s="20"/>
      <c r="H167" s="20"/>
      <c r="I167" s="20"/>
      <c r="J167" s="20"/>
      <c r="K167" s="21"/>
      <c r="L167" s="20"/>
      <c r="M167" s="20"/>
      <c r="N167" s="20"/>
      <c r="O167" s="20"/>
      <c r="P167" s="21"/>
      <c r="Q167" s="20"/>
      <c r="R167" s="20"/>
      <c r="S167" s="20"/>
      <c r="T167" s="20"/>
      <c r="X167" s="20"/>
      <c r="Y167" s="20"/>
      <c r="Z167" s="20"/>
      <c r="AA167" s="20"/>
      <c r="AB167" s="20"/>
      <c r="AC167" s="20"/>
    </row>
    <row r="168" spans="2:29" ht="13.95" customHeight="1" x14ac:dyDescent="0.3">
      <c r="B168" s="20"/>
      <c r="C168" s="20"/>
      <c r="D168" s="20"/>
      <c r="E168" s="20"/>
      <c r="F168" s="20"/>
      <c r="G168" s="20"/>
      <c r="H168" s="20"/>
      <c r="I168" s="20"/>
      <c r="J168" s="20"/>
      <c r="K168" s="21"/>
      <c r="L168" s="20"/>
      <c r="M168" s="20"/>
      <c r="N168" s="20"/>
      <c r="O168" s="20"/>
      <c r="P168" s="21"/>
      <c r="Q168" s="20"/>
      <c r="R168" s="20"/>
      <c r="S168" s="20"/>
      <c r="T168" s="20"/>
      <c r="X168" s="20"/>
      <c r="Y168" s="20"/>
      <c r="Z168" s="20"/>
      <c r="AA168" s="20"/>
      <c r="AB168" s="20"/>
      <c r="AC168" s="20"/>
    </row>
    <row r="169" spans="2:29" ht="13.95" customHeight="1" x14ac:dyDescent="0.3">
      <c r="B169" s="20"/>
      <c r="C169" s="20"/>
      <c r="D169" s="20"/>
      <c r="E169" s="20"/>
      <c r="F169" s="20"/>
      <c r="G169" s="20"/>
      <c r="H169" s="20"/>
      <c r="I169" s="20"/>
      <c r="J169" s="20"/>
      <c r="K169" s="21"/>
      <c r="L169" s="20"/>
      <c r="M169" s="20"/>
      <c r="N169" s="20"/>
      <c r="O169" s="20"/>
      <c r="P169" s="21"/>
      <c r="Q169" s="20"/>
      <c r="R169" s="20"/>
      <c r="S169" s="20"/>
      <c r="T169" s="20"/>
      <c r="X169" s="20"/>
      <c r="Y169" s="20"/>
      <c r="Z169" s="20"/>
      <c r="AA169" s="20"/>
      <c r="AB169" s="20"/>
      <c r="AC169" s="20"/>
    </row>
    <row r="170" spans="2:29" ht="13.95" customHeight="1" x14ac:dyDescent="0.3">
      <c r="B170" s="20"/>
      <c r="C170" s="20"/>
      <c r="D170" s="20"/>
      <c r="E170" s="20"/>
      <c r="F170" s="20"/>
      <c r="G170" s="20"/>
      <c r="H170" s="20"/>
      <c r="I170" s="20"/>
      <c r="J170" s="20"/>
      <c r="K170" s="21"/>
      <c r="L170" s="20"/>
      <c r="M170" s="20"/>
      <c r="N170" s="20"/>
      <c r="O170" s="20"/>
      <c r="P170" s="21"/>
      <c r="Q170" s="20"/>
      <c r="R170" s="20"/>
      <c r="S170" s="20"/>
      <c r="T170" s="20"/>
      <c r="X170" s="20"/>
      <c r="Y170" s="20"/>
      <c r="Z170" s="20"/>
      <c r="AA170" s="20"/>
      <c r="AB170" s="20"/>
      <c r="AC170" s="20"/>
    </row>
    <row r="171" spans="2:29" ht="13.95" customHeight="1" x14ac:dyDescent="0.3">
      <c r="B171" s="20"/>
      <c r="C171" s="20"/>
      <c r="D171" s="20"/>
      <c r="E171" s="20"/>
      <c r="F171" s="20"/>
      <c r="G171" s="20"/>
      <c r="H171" s="20"/>
      <c r="I171" s="20"/>
      <c r="J171" s="20"/>
      <c r="K171" s="21"/>
      <c r="L171" s="20"/>
      <c r="M171" s="20"/>
      <c r="N171" s="20"/>
      <c r="O171" s="20"/>
      <c r="P171" s="21"/>
      <c r="Q171" s="20"/>
      <c r="R171" s="20"/>
      <c r="S171" s="20"/>
      <c r="T171" s="20"/>
      <c r="X171" s="20"/>
      <c r="Y171" s="20"/>
      <c r="Z171" s="20"/>
      <c r="AA171" s="20"/>
      <c r="AB171" s="20"/>
      <c r="AC171" s="20"/>
    </row>
    <row r="172" spans="2:29" ht="13.95" customHeight="1" x14ac:dyDescent="0.3">
      <c r="B172" s="20"/>
      <c r="C172" s="20"/>
      <c r="D172" s="20"/>
      <c r="E172" s="20"/>
      <c r="F172" s="20"/>
      <c r="G172" s="20"/>
      <c r="H172" s="20"/>
      <c r="I172" s="20"/>
      <c r="J172" s="20"/>
      <c r="K172" s="21"/>
      <c r="L172" s="20"/>
      <c r="M172" s="20"/>
      <c r="N172" s="20"/>
      <c r="O172" s="20"/>
      <c r="P172" s="21"/>
      <c r="Q172" s="20"/>
      <c r="R172" s="20"/>
      <c r="S172" s="20"/>
      <c r="T172" s="20"/>
      <c r="X172" s="20"/>
      <c r="Y172" s="20"/>
      <c r="Z172" s="20"/>
      <c r="AA172" s="20"/>
      <c r="AB172" s="20"/>
      <c r="AC172" s="20"/>
    </row>
    <row r="173" spans="2:29" ht="13.95" customHeight="1" x14ac:dyDescent="0.3">
      <c r="B173" s="20"/>
      <c r="C173" s="20"/>
      <c r="D173" s="20"/>
      <c r="E173" s="20"/>
      <c r="F173" s="20"/>
      <c r="G173" s="20"/>
      <c r="H173" s="20"/>
      <c r="I173" s="20"/>
      <c r="J173" s="20"/>
      <c r="K173" s="21"/>
      <c r="L173" s="20"/>
      <c r="M173" s="20"/>
      <c r="N173" s="20"/>
      <c r="O173" s="20"/>
      <c r="P173" s="21"/>
      <c r="Q173" s="20"/>
      <c r="R173" s="20"/>
      <c r="S173" s="20"/>
      <c r="T173" s="20"/>
      <c r="X173" s="20"/>
      <c r="Y173" s="20"/>
      <c r="Z173" s="20"/>
      <c r="AA173" s="20"/>
      <c r="AB173" s="20"/>
      <c r="AC173" s="20"/>
    </row>
    <row r="174" spans="2:29" ht="13.95" customHeight="1" x14ac:dyDescent="0.3">
      <c r="B174" s="20"/>
      <c r="C174" s="20"/>
      <c r="D174" s="20"/>
      <c r="E174" s="20"/>
      <c r="F174" s="20"/>
      <c r="G174" s="20"/>
      <c r="H174" s="20"/>
      <c r="I174" s="20"/>
      <c r="J174" s="20"/>
      <c r="K174" s="21"/>
      <c r="L174" s="20"/>
      <c r="M174" s="20"/>
      <c r="N174" s="20"/>
      <c r="O174" s="20"/>
      <c r="P174" s="21"/>
      <c r="Q174" s="20"/>
      <c r="R174" s="20"/>
      <c r="S174" s="20"/>
      <c r="T174" s="20"/>
      <c r="X174" s="20"/>
      <c r="Y174" s="20"/>
      <c r="Z174" s="20"/>
      <c r="AA174" s="20"/>
      <c r="AB174" s="20"/>
      <c r="AC174" s="20"/>
    </row>
    <row r="175" spans="2:29" ht="13.95" customHeight="1" x14ac:dyDescent="0.3">
      <c r="B175" s="20"/>
      <c r="C175" s="20"/>
      <c r="D175" s="20"/>
      <c r="E175" s="20"/>
      <c r="F175" s="20"/>
      <c r="G175" s="20"/>
      <c r="H175" s="20"/>
      <c r="I175" s="20"/>
      <c r="J175" s="20"/>
      <c r="K175" s="21"/>
      <c r="L175" s="20"/>
      <c r="M175" s="20"/>
      <c r="N175" s="20"/>
      <c r="O175" s="20"/>
      <c r="P175" s="21"/>
      <c r="Q175" s="20"/>
      <c r="R175" s="20"/>
      <c r="S175" s="20"/>
      <c r="T175" s="20"/>
      <c r="X175" s="20"/>
      <c r="Y175" s="20"/>
      <c r="Z175" s="20"/>
      <c r="AA175" s="20"/>
      <c r="AB175" s="20"/>
      <c r="AC175" s="20"/>
    </row>
    <row r="176" spans="2:29" ht="13.95" customHeight="1" x14ac:dyDescent="0.3">
      <c r="B176" s="20"/>
      <c r="C176" s="20"/>
      <c r="D176" s="20"/>
      <c r="E176" s="20"/>
      <c r="F176" s="20"/>
      <c r="G176" s="20"/>
      <c r="H176" s="20"/>
      <c r="I176" s="20"/>
      <c r="J176" s="20"/>
      <c r="K176" s="21"/>
      <c r="L176" s="20"/>
      <c r="M176" s="20"/>
      <c r="N176" s="20"/>
      <c r="O176" s="20"/>
      <c r="P176" s="21"/>
      <c r="Q176" s="20"/>
      <c r="R176" s="20"/>
      <c r="S176" s="20"/>
      <c r="T176" s="20"/>
      <c r="X176" s="20"/>
      <c r="Y176" s="20"/>
      <c r="Z176" s="20"/>
      <c r="AA176" s="20"/>
      <c r="AB176" s="20"/>
      <c r="AC176" s="20"/>
    </row>
    <row r="177" spans="2:29" ht="13.95" customHeight="1" x14ac:dyDescent="0.3">
      <c r="B177" s="20"/>
      <c r="C177" s="20"/>
      <c r="D177" s="20"/>
      <c r="E177" s="20"/>
      <c r="F177" s="20"/>
      <c r="G177" s="20"/>
      <c r="H177" s="20"/>
      <c r="I177" s="20"/>
      <c r="J177" s="20"/>
      <c r="K177" s="21"/>
      <c r="L177" s="20"/>
      <c r="M177" s="20"/>
      <c r="N177" s="20"/>
      <c r="O177" s="20"/>
      <c r="P177" s="21"/>
      <c r="Q177" s="20"/>
      <c r="R177" s="20"/>
      <c r="S177" s="20"/>
      <c r="T177" s="20"/>
      <c r="X177" s="20"/>
      <c r="Y177" s="20"/>
      <c r="Z177" s="20"/>
      <c r="AA177" s="20"/>
      <c r="AB177" s="20"/>
      <c r="AC177" s="20"/>
    </row>
    <row r="178" spans="2:29" ht="13.95" customHeight="1" x14ac:dyDescent="0.3">
      <c r="B178" s="20"/>
      <c r="C178" s="20"/>
      <c r="D178" s="20"/>
      <c r="E178" s="20"/>
      <c r="F178" s="20"/>
      <c r="G178" s="20"/>
      <c r="H178" s="20"/>
      <c r="I178" s="20"/>
      <c r="J178" s="20"/>
      <c r="K178" s="21"/>
      <c r="L178" s="20"/>
      <c r="M178" s="20"/>
      <c r="N178" s="20"/>
      <c r="O178" s="20"/>
      <c r="P178" s="21"/>
      <c r="Q178" s="20"/>
      <c r="R178" s="20"/>
      <c r="S178" s="20"/>
      <c r="T178" s="20"/>
      <c r="X178" s="20"/>
      <c r="Y178" s="20"/>
      <c r="Z178" s="20"/>
      <c r="AA178" s="20"/>
      <c r="AB178" s="20"/>
      <c r="AC178" s="20"/>
    </row>
    <row r="179" spans="2:29" ht="13.95" customHeight="1" x14ac:dyDescent="0.3">
      <c r="B179" s="20"/>
      <c r="C179" s="20"/>
      <c r="D179" s="20"/>
      <c r="E179" s="20"/>
      <c r="F179" s="20"/>
      <c r="G179" s="20"/>
      <c r="H179" s="20"/>
      <c r="I179" s="20"/>
      <c r="J179" s="20"/>
      <c r="K179" s="21"/>
      <c r="L179" s="20"/>
      <c r="M179" s="20"/>
      <c r="N179" s="20"/>
      <c r="O179" s="20"/>
      <c r="P179" s="21"/>
      <c r="Q179" s="20"/>
      <c r="R179" s="20"/>
      <c r="S179" s="20"/>
      <c r="T179" s="20"/>
      <c r="X179" s="20"/>
      <c r="Y179" s="20"/>
      <c r="Z179" s="20"/>
      <c r="AA179" s="20"/>
      <c r="AB179" s="20"/>
      <c r="AC179" s="20"/>
    </row>
    <row r="180" spans="2:29" ht="13.95" customHeight="1" x14ac:dyDescent="0.3">
      <c r="B180" s="20"/>
      <c r="C180" s="20"/>
      <c r="D180" s="20"/>
      <c r="E180" s="20"/>
      <c r="F180" s="20"/>
      <c r="G180" s="20"/>
      <c r="H180" s="20"/>
      <c r="I180" s="20"/>
      <c r="J180" s="20"/>
      <c r="K180" s="21"/>
      <c r="L180" s="20"/>
      <c r="M180" s="20"/>
      <c r="N180" s="20"/>
      <c r="O180" s="20"/>
      <c r="P180" s="21"/>
      <c r="Q180" s="20"/>
      <c r="R180" s="20"/>
      <c r="S180" s="20"/>
      <c r="T180" s="20"/>
      <c r="X180" s="20"/>
      <c r="Y180" s="20"/>
      <c r="Z180" s="20"/>
      <c r="AA180" s="20"/>
      <c r="AB180" s="20"/>
      <c r="AC180" s="20"/>
    </row>
    <row r="181" spans="2:29" ht="13.95" customHeight="1" x14ac:dyDescent="0.3">
      <c r="B181" s="20"/>
      <c r="C181" s="20"/>
      <c r="D181" s="20"/>
      <c r="E181" s="20"/>
      <c r="F181" s="20"/>
      <c r="G181" s="20"/>
      <c r="H181" s="20"/>
      <c r="I181" s="20"/>
      <c r="J181" s="20"/>
      <c r="K181" s="21"/>
      <c r="L181" s="20"/>
      <c r="M181" s="20"/>
      <c r="N181" s="20"/>
      <c r="O181" s="20"/>
      <c r="P181" s="21"/>
      <c r="Q181" s="20"/>
      <c r="R181" s="20"/>
      <c r="S181" s="20"/>
      <c r="T181" s="20"/>
      <c r="X181" s="20"/>
      <c r="Y181" s="20"/>
      <c r="Z181" s="20"/>
      <c r="AA181" s="20"/>
      <c r="AB181" s="20"/>
      <c r="AC181" s="20"/>
    </row>
    <row r="182" spans="2:29" ht="13.95" customHeight="1" x14ac:dyDescent="0.3">
      <c r="B182" s="20"/>
      <c r="C182" s="20"/>
      <c r="D182" s="20"/>
      <c r="E182" s="20"/>
      <c r="F182" s="20"/>
      <c r="G182" s="20"/>
      <c r="H182" s="20"/>
      <c r="I182" s="20"/>
      <c r="J182" s="20"/>
      <c r="K182" s="21"/>
      <c r="L182" s="20"/>
      <c r="M182" s="20"/>
      <c r="N182" s="20"/>
      <c r="O182" s="20"/>
      <c r="P182" s="21"/>
      <c r="Q182" s="20"/>
      <c r="R182" s="20"/>
      <c r="S182" s="20"/>
      <c r="T182" s="20"/>
      <c r="X182" s="20"/>
      <c r="Y182" s="20"/>
      <c r="Z182" s="20"/>
      <c r="AA182" s="20"/>
      <c r="AB182" s="20"/>
      <c r="AC182" s="20"/>
    </row>
    <row r="183" spans="2:29" ht="13.95" customHeight="1" x14ac:dyDescent="0.3">
      <c r="B183" s="20"/>
      <c r="C183" s="20"/>
      <c r="D183" s="20"/>
      <c r="E183" s="20"/>
      <c r="F183" s="20"/>
      <c r="G183" s="20"/>
      <c r="H183" s="20"/>
      <c r="I183" s="20"/>
      <c r="J183" s="20"/>
      <c r="K183" s="21"/>
      <c r="L183" s="20"/>
      <c r="M183" s="20"/>
      <c r="N183" s="20"/>
      <c r="O183" s="20"/>
      <c r="P183" s="21"/>
      <c r="Q183" s="20"/>
      <c r="R183" s="20"/>
      <c r="S183" s="20"/>
      <c r="T183" s="20"/>
      <c r="X183" s="20"/>
      <c r="Y183" s="20"/>
      <c r="Z183" s="20"/>
      <c r="AA183" s="20"/>
      <c r="AB183" s="20"/>
      <c r="AC183" s="20"/>
    </row>
    <row r="184" spans="2:29" ht="13.95" customHeight="1" x14ac:dyDescent="0.3">
      <c r="B184" s="20"/>
      <c r="C184" s="20"/>
      <c r="D184" s="20"/>
      <c r="E184" s="20"/>
      <c r="F184" s="20"/>
      <c r="G184" s="20"/>
      <c r="H184" s="20"/>
      <c r="I184" s="20"/>
      <c r="J184" s="20"/>
      <c r="K184" s="21"/>
      <c r="L184" s="20"/>
      <c r="M184" s="20"/>
      <c r="N184" s="20"/>
      <c r="O184" s="20"/>
      <c r="P184" s="21"/>
      <c r="Q184" s="20"/>
      <c r="R184" s="20"/>
      <c r="S184" s="20"/>
      <c r="T184" s="20"/>
      <c r="X184" s="20"/>
      <c r="Y184" s="20"/>
      <c r="Z184" s="20"/>
      <c r="AA184" s="20"/>
      <c r="AB184" s="20"/>
      <c r="AC184" s="20"/>
    </row>
    <row r="185" spans="2:29" ht="13.95" customHeight="1" x14ac:dyDescent="0.3">
      <c r="B185" s="20"/>
      <c r="C185" s="20"/>
      <c r="D185" s="20"/>
      <c r="E185" s="20"/>
      <c r="F185" s="20"/>
      <c r="G185" s="20"/>
      <c r="H185" s="20"/>
      <c r="I185" s="20"/>
      <c r="J185" s="20"/>
      <c r="K185" s="21"/>
      <c r="L185" s="20"/>
      <c r="M185" s="20"/>
      <c r="N185" s="20"/>
      <c r="O185" s="20"/>
      <c r="P185" s="21"/>
      <c r="Q185" s="20"/>
      <c r="R185" s="20"/>
      <c r="S185" s="20"/>
      <c r="T185" s="20"/>
      <c r="X185" s="20"/>
      <c r="Y185" s="20"/>
      <c r="Z185" s="20"/>
      <c r="AA185" s="20"/>
      <c r="AB185" s="20"/>
      <c r="AC185" s="20"/>
    </row>
    <row r="186" spans="2:29" ht="13.95" customHeight="1" x14ac:dyDescent="0.3">
      <c r="B186" s="20"/>
      <c r="C186" s="20"/>
      <c r="D186" s="20"/>
      <c r="E186" s="20"/>
      <c r="F186" s="20"/>
      <c r="G186" s="20"/>
      <c r="H186" s="20"/>
      <c r="I186" s="20"/>
      <c r="J186" s="20"/>
      <c r="K186" s="21"/>
      <c r="L186" s="20"/>
      <c r="M186" s="20"/>
      <c r="N186" s="20"/>
      <c r="O186" s="20"/>
      <c r="P186" s="21"/>
      <c r="Q186" s="20"/>
      <c r="R186" s="20"/>
      <c r="S186" s="20"/>
      <c r="T186" s="20"/>
      <c r="X186" s="20"/>
      <c r="Y186" s="20"/>
      <c r="Z186" s="20"/>
      <c r="AA186" s="20"/>
      <c r="AB186" s="20"/>
      <c r="AC186" s="20"/>
    </row>
    <row r="187" spans="2:29" ht="13.95" customHeight="1" x14ac:dyDescent="0.3">
      <c r="B187" s="20"/>
      <c r="C187" s="20"/>
      <c r="D187" s="20"/>
      <c r="E187" s="20"/>
      <c r="F187" s="20"/>
      <c r="G187" s="20"/>
      <c r="H187" s="20"/>
      <c r="I187" s="20"/>
      <c r="J187" s="20"/>
      <c r="K187" s="21"/>
      <c r="L187" s="20"/>
      <c r="M187" s="20"/>
      <c r="N187" s="20"/>
      <c r="O187" s="20"/>
      <c r="P187" s="21"/>
      <c r="Q187" s="20"/>
      <c r="R187" s="20"/>
      <c r="S187" s="20"/>
      <c r="T187" s="20"/>
      <c r="X187" s="20"/>
      <c r="Y187" s="20"/>
      <c r="Z187" s="20"/>
      <c r="AA187" s="20"/>
      <c r="AB187" s="20"/>
      <c r="AC187" s="20"/>
    </row>
    <row r="188" spans="2:29" ht="13.95" customHeight="1" x14ac:dyDescent="0.3">
      <c r="B188" s="20"/>
      <c r="C188" s="20"/>
      <c r="D188" s="20"/>
      <c r="E188" s="20"/>
      <c r="F188" s="20"/>
      <c r="G188" s="20"/>
      <c r="H188" s="20"/>
      <c r="I188" s="20"/>
      <c r="J188" s="20"/>
      <c r="K188" s="21"/>
      <c r="L188" s="20"/>
      <c r="M188" s="20"/>
      <c r="N188" s="20"/>
      <c r="O188" s="20"/>
      <c r="P188" s="21"/>
      <c r="Q188" s="20"/>
      <c r="R188" s="20"/>
      <c r="S188" s="20"/>
      <c r="T188" s="20"/>
      <c r="X188" s="20"/>
      <c r="Y188" s="20"/>
      <c r="Z188" s="20"/>
      <c r="AA188" s="20"/>
      <c r="AB188" s="20"/>
      <c r="AC188" s="20"/>
    </row>
    <row r="189" spans="2:29" ht="13.95" customHeight="1" x14ac:dyDescent="0.3">
      <c r="B189" s="20"/>
      <c r="C189" s="20"/>
      <c r="D189" s="20"/>
      <c r="E189" s="20"/>
      <c r="F189" s="20"/>
      <c r="G189" s="20"/>
      <c r="H189" s="20"/>
      <c r="I189" s="20"/>
      <c r="J189" s="20"/>
      <c r="K189" s="21"/>
      <c r="L189" s="20"/>
      <c r="M189" s="20"/>
      <c r="N189" s="20"/>
      <c r="O189" s="20"/>
      <c r="P189" s="21"/>
      <c r="Q189" s="20"/>
      <c r="R189" s="20"/>
      <c r="S189" s="20"/>
      <c r="T189" s="20"/>
      <c r="X189" s="20"/>
      <c r="Y189" s="20"/>
      <c r="Z189" s="20"/>
      <c r="AA189" s="20"/>
      <c r="AB189" s="20"/>
      <c r="AC189" s="20"/>
    </row>
    <row r="190" spans="2:29" ht="13.95" customHeight="1" x14ac:dyDescent="0.3">
      <c r="B190" s="20"/>
      <c r="C190" s="20"/>
      <c r="D190" s="20"/>
      <c r="E190" s="20"/>
      <c r="F190" s="20"/>
      <c r="G190" s="20"/>
      <c r="H190" s="20"/>
      <c r="I190" s="20"/>
      <c r="J190" s="20"/>
      <c r="K190" s="21"/>
      <c r="L190" s="20"/>
      <c r="M190" s="20"/>
      <c r="N190" s="20"/>
      <c r="O190" s="20"/>
      <c r="P190" s="21"/>
      <c r="Q190" s="20"/>
      <c r="R190" s="20"/>
      <c r="S190" s="20"/>
      <c r="T190" s="20"/>
      <c r="X190" s="20"/>
      <c r="Y190" s="20"/>
      <c r="Z190" s="20"/>
      <c r="AA190" s="20"/>
      <c r="AB190" s="20"/>
      <c r="AC190" s="20"/>
    </row>
    <row r="191" spans="2:29" ht="13.95" customHeight="1" x14ac:dyDescent="0.3">
      <c r="B191" s="20"/>
      <c r="C191" s="20"/>
      <c r="D191" s="20"/>
      <c r="E191" s="20"/>
      <c r="F191" s="20"/>
      <c r="G191" s="20"/>
      <c r="H191" s="20"/>
      <c r="I191" s="20"/>
      <c r="J191" s="20"/>
      <c r="K191" s="21"/>
      <c r="L191" s="20"/>
      <c r="M191" s="20"/>
      <c r="N191" s="20"/>
      <c r="O191" s="20"/>
      <c r="P191" s="21"/>
      <c r="Q191" s="20"/>
      <c r="R191" s="20"/>
      <c r="S191" s="20"/>
      <c r="T191" s="20"/>
      <c r="X191" s="20"/>
      <c r="Y191" s="20"/>
      <c r="Z191" s="20"/>
      <c r="AA191" s="20"/>
      <c r="AB191" s="20"/>
      <c r="AC191" s="20"/>
    </row>
    <row r="192" spans="2:29" ht="13.95" customHeight="1" x14ac:dyDescent="0.3">
      <c r="B192" s="20"/>
      <c r="C192" s="20"/>
      <c r="D192" s="20"/>
      <c r="E192" s="20"/>
      <c r="F192" s="20"/>
      <c r="G192" s="20"/>
      <c r="H192" s="20"/>
      <c r="I192" s="20"/>
      <c r="J192" s="20"/>
      <c r="K192" s="21"/>
      <c r="L192" s="20"/>
      <c r="M192" s="20"/>
      <c r="N192" s="20"/>
      <c r="O192" s="20"/>
      <c r="P192" s="21"/>
      <c r="Q192" s="20"/>
      <c r="R192" s="20"/>
      <c r="S192" s="20"/>
      <c r="T192" s="20"/>
      <c r="X192" s="20"/>
      <c r="Y192" s="20"/>
      <c r="Z192" s="20"/>
      <c r="AA192" s="20"/>
      <c r="AB192" s="20"/>
      <c r="AC192" s="20"/>
    </row>
    <row r="193" spans="2:29" ht="13.95" customHeight="1" x14ac:dyDescent="0.3">
      <c r="B193" s="20"/>
      <c r="C193" s="20"/>
      <c r="D193" s="20"/>
      <c r="E193" s="20"/>
      <c r="F193" s="20"/>
      <c r="G193" s="20"/>
      <c r="H193" s="20"/>
      <c r="I193" s="20"/>
      <c r="J193" s="20"/>
      <c r="K193" s="21"/>
      <c r="L193" s="20"/>
      <c r="M193" s="20"/>
      <c r="N193" s="20"/>
      <c r="O193" s="20"/>
      <c r="P193" s="21"/>
      <c r="Q193" s="20"/>
      <c r="R193" s="20"/>
      <c r="S193" s="20"/>
      <c r="T193" s="20"/>
      <c r="X193" s="20"/>
      <c r="Y193" s="20"/>
      <c r="Z193" s="20"/>
      <c r="AA193" s="20"/>
      <c r="AB193" s="20"/>
      <c r="AC193" s="20"/>
    </row>
    <row r="194" spans="2:29" ht="13.95" customHeight="1" x14ac:dyDescent="0.3">
      <c r="B194" s="20"/>
      <c r="C194" s="20"/>
      <c r="D194" s="20"/>
      <c r="E194" s="20"/>
      <c r="F194" s="20"/>
      <c r="G194" s="20"/>
      <c r="H194" s="20"/>
      <c r="I194" s="20"/>
      <c r="J194" s="20"/>
      <c r="K194" s="21"/>
      <c r="L194" s="20"/>
      <c r="M194" s="20"/>
      <c r="N194" s="20"/>
      <c r="O194" s="20"/>
      <c r="P194" s="21"/>
      <c r="Q194" s="20"/>
      <c r="R194" s="20"/>
      <c r="S194" s="20"/>
      <c r="T194" s="20"/>
      <c r="X194" s="20"/>
      <c r="Y194" s="20"/>
      <c r="Z194" s="20"/>
      <c r="AA194" s="20"/>
      <c r="AB194" s="20"/>
      <c r="AC194" s="20"/>
    </row>
    <row r="195" spans="2:29" ht="13.95" customHeight="1" x14ac:dyDescent="0.3">
      <c r="B195" s="20"/>
      <c r="C195" s="20"/>
      <c r="D195" s="20"/>
      <c r="E195" s="20"/>
      <c r="F195" s="20"/>
      <c r="G195" s="20"/>
      <c r="H195" s="20"/>
      <c r="I195" s="20"/>
      <c r="J195" s="20"/>
      <c r="K195" s="21"/>
      <c r="L195" s="20"/>
      <c r="M195" s="20"/>
      <c r="N195" s="20"/>
      <c r="O195" s="20"/>
      <c r="P195" s="21"/>
      <c r="Q195" s="20"/>
      <c r="R195" s="20"/>
      <c r="S195" s="20"/>
      <c r="T195" s="20"/>
      <c r="X195" s="20"/>
      <c r="Y195" s="20"/>
      <c r="Z195" s="20"/>
      <c r="AA195" s="20"/>
      <c r="AB195" s="20"/>
      <c r="AC195" s="20"/>
    </row>
    <row r="196" spans="2:29" ht="13.95" customHeight="1" x14ac:dyDescent="0.3">
      <c r="B196" s="20"/>
      <c r="C196" s="20"/>
      <c r="D196" s="20"/>
      <c r="E196" s="20"/>
      <c r="F196" s="20"/>
      <c r="G196" s="20"/>
      <c r="H196" s="20"/>
      <c r="I196" s="20"/>
      <c r="J196" s="20"/>
      <c r="K196" s="21"/>
      <c r="L196" s="20"/>
      <c r="M196" s="20"/>
      <c r="N196" s="20"/>
      <c r="O196" s="20"/>
      <c r="P196" s="21"/>
      <c r="Q196" s="20"/>
      <c r="R196" s="20"/>
      <c r="S196" s="20"/>
      <c r="T196" s="20"/>
      <c r="X196" s="20"/>
      <c r="Y196" s="20"/>
      <c r="Z196" s="20"/>
      <c r="AA196" s="20"/>
      <c r="AB196" s="20"/>
      <c r="AC196" s="20"/>
    </row>
    <row r="197" spans="2:29" ht="13.95" customHeight="1" x14ac:dyDescent="0.3">
      <c r="B197" s="20"/>
      <c r="C197" s="20"/>
      <c r="D197" s="20"/>
      <c r="E197" s="20"/>
      <c r="F197" s="20"/>
      <c r="G197" s="20"/>
      <c r="H197" s="20"/>
      <c r="I197" s="20"/>
      <c r="J197" s="20"/>
      <c r="K197" s="21"/>
      <c r="L197" s="20"/>
      <c r="M197" s="20"/>
      <c r="N197" s="20"/>
      <c r="O197" s="20"/>
      <c r="P197" s="21"/>
      <c r="Q197" s="20"/>
      <c r="R197" s="20"/>
      <c r="S197" s="20"/>
      <c r="T197" s="20"/>
      <c r="X197" s="20"/>
      <c r="Y197" s="20"/>
      <c r="Z197" s="20"/>
      <c r="AA197" s="20"/>
      <c r="AB197" s="20"/>
      <c r="AC197" s="20"/>
    </row>
    <row r="198" spans="2:29" ht="13.95" customHeight="1" x14ac:dyDescent="0.3">
      <c r="B198" s="20"/>
      <c r="C198" s="20"/>
      <c r="D198" s="20"/>
      <c r="E198" s="20"/>
      <c r="F198" s="20"/>
      <c r="G198" s="20"/>
      <c r="H198" s="20"/>
      <c r="I198" s="20"/>
      <c r="J198" s="20"/>
      <c r="K198" s="21"/>
      <c r="L198" s="20"/>
      <c r="M198" s="20"/>
      <c r="N198" s="20"/>
      <c r="O198" s="20"/>
      <c r="P198" s="21"/>
      <c r="Q198" s="20"/>
      <c r="R198" s="20"/>
      <c r="S198" s="20"/>
      <c r="T198" s="20"/>
      <c r="X198" s="20"/>
      <c r="Y198" s="20"/>
      <c r="Z198" s="20"/>
      <c r="AA198" s="20"/>
      <c r="AB198" s="20"/>
      <c r="AC198" s="20"/>
    </row>
    <row r="199" spans="2:29" ht="13.95" customHeight="1" x14ac:dyDescent="0.3">
      <c r="B199" s="20"/>
      <c r="C199" s="20"/>
      <c r="D199" s="20"/>
      <c r="E199" s="20"/>
      <c r="F199" s="20"/>
      <c r="G199" s="20"/>
      <c r="H199" s="20"/>
      <c r="I199" s="20"/>
      <c r="J199" s="20"/>
      <c r="K199" s="21"/>
      <c r="L199" s="20"/>
      <c r="M199" s="20"/>
      <c r="N199" s="20"/>
      <c r="O199" s="20"/>
      <c r="P199" s="21"/>
      <c r="Q199" s="20"/>
      <c r="R199" s="20"/>
      <c r="S199" s="20"/>
      <c r="T199" s="20"/>
      <c r="X199" s="20"/>
      <c r="Y199" s="20"/>
      <c r="Z199" s="20"/>
      <c r="AA199" s="20"/>
      <c r="AB199" s="20"/>
      <c r="AC199" s="20"/>
    </row>
    <row r="200" spans="2:29" ht="13.95" customHeight="1" x14ac:dyDescent="0.3">
      <c r="B200" s="20"/>
      <c r="C200" s="20"/>
      <c r="D200" s="20"/>
      <c r="E200" s="20"/>
      <c r="F200" s="20"/>
      <c r="G200" s="20"/>
      <c r="H200" s="20"/>
      <c r="I200" s="20"/>
      <c r="J200" s="20"/>
      <c r="K200" s="21"/>
      <c r="L200" s="20"/>
      <c r="M200" s="20"/>
      <c r="N200" s="20"/>
      <c r="O200" s="20"/>
      <c r="P200" s="21"/>
      <c r="Q200" s="20"/>
      <c r="R200" s="20"/>
      <c r="S200" s="20"/>
      <c r="T200" s="20"/>
      <c r="X200" s="20"/>
      <c r="Y200" s="20"/>
      <c r="Z200" s="20"/>
      <c r="AA200" s="20"/>
      <c r="AB200" s="20"/>
      <c r="AC200" s="20"/>
    </row>
    <row r="201" spans="2:29" ht="13.95" customHeight="1" x14ac:dyDescent="0.3">
      <c r="B201" s="20"/>
      <c r="C201" s="20"/>
      <c r="D201" s="20"/>
      <c r="E201" s="20"/>
      <c r="F201" s="20"/>
      <c r="G201" s="20"/>
      <c r="H201" s="20"/>
      <c r="I201" s="20"/>
      <c r="J201" s="20"/>
      <c r="K201" s="21"/>
      <c r="L201" s="20"/>
      <c r="M201" s="20"/>
      <c r="N201" s="20"/>
      <c r="O201" s="20"/>
      <c r="P201" s="21"/>
      <c r="Q201" s="20"/>
      <c r="R201" s="20"/>
      <c r="S201" s="20"/>
      <c r="T201" s="20"/>
      <c r="X201" s="20"/>
      <c r="Y201" s="20"/>
      <c r="Z201" s="20"/>
      <c r="AA201" s="20"/>
      <c r="AB201" s="20"/>
      <c r="AC201" s="20"/>
    </row>
    <row r="202" spans="2:29" ht="13.95" customHeight="1" x14ac:dyDescent="0.3">
      <c r="B202" s="20"/>
      <c r="C202" s="20"/>
      <c r="D202" s="20"/>
      <c r="E202" s="20"/>
      <c r="F202" s="20"/>
      <c r="G202" s="20"/>
      <c r="H202" s="20"/>
      <c r="I202" s="20"/>
      <c r="J202" s="20"/>
      <c r="K202" s="21"/>
      <c r="L202" s="20"/>
      <c r="M202" s="20"/>
      <c r="N202" s="20"/>
      <c r="O202" s="20"/>
      <c r="P202" s="21"/>
      <c r="Q202" s="20"/>
      <c r="R202" s="20"/>
      <c r="S202" s="20"/>
      <c r="T202" s="20"/>
      <c r="X202" s="20"/>
      <c r="Y202" s="20"/>
      <c r="Z202" s="20"/>
      <c r="AA202" s="20"/>
      <c r="AB202" s="20"/>
      <c r="AC202" s="20"/>
    </row>
    <row r="203" spans="2:29" ht="30" customHeight="1" x14ac:dyDescent="0.3">
      <c r="B203" s="490" t="s">
        <v>349</v>
      </c>
      <c r="C203" s="490"/>
      <c r="D203" s="71" t="e">
        <f>IF(AND(D204&gt;=0.1,D204&lt;0.2),"B",IF(AND(D204&gt;=0.2,D204&lt;0.3),"C",IF(AND(D204&gt;=0.3,D204&lt;0.4),"D",IF(AND(D204&gt;=0.4,D204&lt;0.5),"E",IF(AND(D204&gt;=0.5,D204&lt;0.6),"F",IF(AND(D204&gt;=0.6,D204&lt;0.7),"G",IF(AND(D204&gt;=0.7,D204&lt;0.8),"H",IF(AND(D204&gt;=0.8,D204&lt;0.9),"I",IF(AND(D204&lt;0.1),"A",IF(AND(D204&gt;=0.9),"J"))))))))))</f>
        <v>#REF!</v>
      </c>
      <c r="E203" s="71"/>
      <c r="F203" s="20"/>
      <c r="G203" s="20"/>
      <c r="H203" s="20"/>
      <c r="I203" s="20"/>
      <c r="J203" s="20"/>
      <c r="K203" s="21"/>
      <c r="L203" s="20"/>
      <c r="M203" s="20"/>
      <c r="N203" s="20"/>
      <c r="O203" s="20"/>
      <c r="P203" s="21"/>
      <c r="Q203" s="20"/>
      <c r="R203" s="20"/>
      <c r="S203" s="20"/>
      <c r="T203" s="20"/>
      <c r="X203" s="20" t="s">
        <v>350</v>
      </c>
      <c r="Y203" s="20"/>
      <c r="Z203" s="20"/>
      <c r="AA203" s="20"/>
      <c r="AB203" s="20"/>
      <c r="AC203" s="20"/>
    </row>
    <row r="204" spans="2:29" ht="13.95" customHeight="1" x14ac:dyDescent="0.3">
      <c r="B204" s="70"/>
      <c r="C204" s="70"/>
      <c r="D204" s="120" t="e">
        <f>#REF!/(3*3*3*3)</f>
        <v>#REF!</v>
      </c>
      <c r="E204" s="120"/>
      <c r="F204" s="20"/>
      <c r="G204" s="20"/>
      <c r="H204" s="20"/>
      <c r="I204" s="20"/>
      <c r="J204" s="20"/>
      <c r="K204" s="21"/>
      <c r="L204" s="20"/>
      <c r="M204" s="20"/>
      <c r="N204" s="20"/>
      <c r="O204" s="20"/>
      <c r="P204" s="21"/>
      <c r="Q204" s="20"/>
      <c r="R204" s="20"/>
      <c r="S204" s="20"/>
      <c r="T204" s="20"/>
      <c r="X204" s="20"/>
      <c r="Y204" s="20"/>
      <c r="Z204" s="20"/>
      <c r="AA204" s="20"/>
      <c r="AB204" s="121"/>
      <c r="AC204" s="20"/>
    </row>
    <row r="205" spans="2:29" ht="64.95" customHeight="1" x14ac:dyDescent="0.3">
      <c r="B205" s="500" t="s">
        <v>351</v>
      </c>
      <c r="C205" s="500"/>
      <c r="D205" s="493" t="s">
        <v>352</v>
      </c>
      <c r="E205" s="493"/>
      <c r="F205" s="493"/>
      <c r="G205" s="493" t="s">
        <v>353</v>
      </c>
      <c r="H205" s="493"/>
      <c r="I205" s="493" t="s">
        <v>354</v>
      </c>
      <c r="J205" s="493"/>
      <c r="K205" s="21"/>
      <c r="L205" s="20"/>
      <c r="M205" s="20"/>
      <c r="N205" s="20"/>
      <c r="O205" s="20"/>
      <c r="P205" s="21"/>
      <c r="Q205" s="20"/>
      <c r="R205" s="20"/>
      <c r="S205" s="20"/>
      <c r="T205" s="20"/>
      <c r="X205" s="20"/>
      <c r="Y205" s="20"/>
      <c r="Z205" s="20"/>
      <c r="AA205" s="20"/>
      <c r="AB205" s="121"/>
      <c r="AC205" s="20"/>
    </row>
    <row r="206" spans="2:29" ht="25.2" customHeight="1" x14ac:dyDescent="0.3">
      <c r="B206" s="500"/>
      <c r="C206" s="500"/>
      <c r="D206" s="494"/>
      <c r="E206" s="494"/>
      <c r="F206" s="494"/>
      <c r="G206" s="494"/>
      <c r="H206" s="494"/>
      <c r="I206" s="494" t="s">
        <v>19</v>
      </c>
      <c r="J206" s="494"/>
      <c r="K206" s="21"/>
      <c r="L206" s="20"/>
      <c r="M206" s="20"/>
      <c r="N206" s="20"/>
      <c r="O206" s="20"/>
      <c r="P206" s="21"/>
      <c r="Q206" s="20"/>
      <c r="R206" s="20"/>
      <c r="S206" s="20"/>
      <c r="T206" s="20"/>
      <c r="X206" s="20"/>
      <c r="Y206" s="20"/>
      <c r="Z206" s="20"/>
      <c r="AA206" s="20"/>
      <c r="AB206" s="121"/>
      <c r="AC206" s="20"/>
    </row>
    <row r="207" spans="2:29" ht="64.95" customHeight="1" x14ac:dyDescent="0.3">
      <c r="B207" s="500" t="s">
        <v>355</v>
      </c>
      <c r="C207" s="500"/>
      <c r="D207" s="501" t="s">
        <v>356</v>
      </c>
      <c r="E207" s="501"/>
      <c r="F207" s="501"/>
      <c r="G207" s="501" t="s">
        <v>357</v>
      </c>
      <c r="H207" s="501"/>
      <c r="I207" s="501" t="s">
        <v>172</v>
      </c>
      <c r="J207" s="501"/>
      <c r="K207" s="21"/>
      <c r="L207" s="20"/>
      <c r="M207" s="20"/>
      <c r="N207" s="20"/>
      <c r="O207" s="20"/>
      <c r="P207" s="21"/>
      <c r="Q207" s="20"/>
      <c r="R207" s="20"/>
      <c r="S207" s="20"/>
      <c r="T207" s="20"/>
      <c r="X207" s="20"/>
      <c r="Y207" s="20"/>
      <c r="Z207" s="20"/>
      <c r="AA207" s="20"/>
      <c r="AB207" s="121"/>
      <c r="AC207" s="20"/>
    </row>
    <row r="208" spans="2:29" ht="25.2" customHeight="1" x14ac:dyDescent="0.3">
      <c r="B208" s="500"/>
      <c r="C208" s="500"/>
      <c r="D208" s="494"/>
      <c r="E208" s="494"/>
      <c r="F208" s="494"/>
      <c r="G208" s="494" t="s">
        <v>19</v>
      </c>
      <c r="H208" s="494"/>
      <c r="I208" s="494"/>
      <c r="J208" s="494"/>
      <c r="K208" s="21"/>
      <c r="L208" s="20"/>
      <c r="M208" s="20"/>
      <c r="N208" s="20"/>
      <c r="O208" s="20"/>
      <c r="P208" s="21"/>
      <c r="Q208" s="20"/>
      <c r="R208" s="20"/>
      <c r="S208" s="20"/>
      <c r="T208" s="20"/>
      <c r="X208" s="20"/>
      <c r="Y208" s="20"/>
      <c r="Z208" s="20"/>
      <c r="AA208" s="20"/>
      <c r="AB208" s="121"/>
      <c r="AC208" s="20"/>
    </row>
    <row r="209" spans="2:29" ht="64.95" customHeight="1" x14ac:dyDescent="0.3">
      <c r="B209" s="500" t="s">
        <v>358</v>
      </c>
      <c r="C209" s="500"/>
      <c r="D209" s="501" t="s">
        <v>172</v>
      </c>
      <c r="E209" s="501"/>
      <c r="F209" s="501"/>
      <c r="G209" s="501" t="s">
        <v>359</v>
      </c>
      <c r="H209" s="501"/>
      <c r="I209" s="501" t="s">
        <v>360</v>
      </c>
      <c r="J209" s="501"/>
      <c r="K209" s="21"/>
      <c r="L209" s="20"/>
      <c r="M209" s="20"/>
      <c r="N209" s="20"/>
      <c r="O209" s="20"/>
      <c r="P209" s="21"/>
      <c r="Q209" s="20"/>
      <c r="R209" s="20"/>
      <c r="S209" s="20"/>
      <c r="T209" s="20"/>
      <c r="X209" s="20"/>
      <c r="Y209" s="20"/>
      <c r="Z209" s="20"/>
      <c r="AA209" s="20"/>
      <c r="AB209" s="121"/>
      <c r="AC209" s="20"/>
    </row>
    <row r="210" spans="2:29" ht="25.2" customHeight="1" x14ac:dyDescent="0.3">
      <c r="B210" s="500"/>
      <c r="C210" s="500"/>
      <c r="D210" s="494"/>
      <c r="E210" s="494"/>
      <c r="F210" s="494"/>
      <c r="G210" s="494"/>
      <c r="H210" s="494"/>
      <c r="I210" s="494" t="s">
        <v>19</v>
      </c>
      <c r="J210" s="494"/>
      <c r="K210" s="21"/>
      <c r="L210" s="20"/>
      <c r="M210" s="20"/>
      <c r="N210" s="20"/>
      <c r="O210" s="20"/>
      <c r="P210" s="21"/>
      <c r="Q210" s="20"/>
      <c r="R210" s="20"/>
      <c r="S210" s="20"/>
      <c r="T210" s="20"/>
      <c r="X210" s="20"/>
      <c r="Y210" s="20"/>
      <c r="Z210" s="20"/>
      <c r="AA210" s="20"/>
      <c r="AB210" s="121"/>
      <c r="AC210" s="20"/>
    </row>
    <row r="211" spans="2:29" ht="64.95" customHeight="1" x14ac:dyDescent="0.3">
      <c r="B211" s="492" t="s">
        <v>361</v>
      </c>
      <c r="C211" s="492"/>
      <c r="D211" s="501" t="s">
        <v>362</v>
      </c>
      <c r="E211" s="501"/>
      <c r="F211" s="501"/>
      <c r="G211" s="501" t="s">
        <v>363</v>
      </c>
      <c r="H211" s="501"/>
      <c r="I211" s="501" t="s">
        <v>364</v>
      </c>
      <c r="J211" s="501"/>
      <c r="K211" s="21"/>
      <c r="L211" s="20"/>
      <c r="M211" s="20"/>
      <c r="N211" s="20"/>
      <c r="O211" s="20"/>
      <c r="P211" s="21"/>
      <c r="Q211" s="20"/>
      <c r="R211" s="20"/>
      <c r="S211" s="20"/>
      <c r="T211" s="20"/>
      <c r="X211" s="20"/>
      <c r="Y211" s="20"/>
      <c r="Z211" s="20"/>
      <c r="AA211" s="20"/>
      <c r="AB211" s="121"/>
      <c r="AC211" s="20"/>
    </row>
    <row r="212" spans="2:29" ht="25.2" customHeight="1" x14ac:dyDescent="0.3">
      <c r="B212" s="492"/>
      <c r="C212" s="492"/>
      <c r="D212" s="494"/>
      <c r="E212" s="494"/>
      <c r="F212" s="494"/>
      <c r="G212" s="494"/>
      <c r="H212" s="494"/>
      <c r="I212" s="494" t="s">
        <v>19</v>
      </c>
      <c r="J212" s="494"/>
      <c r="K212" s="21"/>
      <c r="L212" s="20"/>
      <c r="M212" s="20"/>
      <c r="N212" s="20"/>
      <c r="O212" s="20"/>
      <c r="P212" s="21"/>
      <c r="Q212" s="20"/>
      <c r="R212" s="20"/>
      <c r="S212" s="20"/>
      <c r="T212" s="20"/>
      <c r="X212" s="20"/>
      <c r="Y212" s="20"/>
      <c r="Z212" s="20"/>
      <c r="AA212" s="20"/>
      <c r="AB212" s="121"/>
      <c r="AC212" s="20"/>
    </row>
    <row r="213" spans="2:29" ht="14.55" customHeight="1" x14ac:dyDescent="0.3">
      <c r="B213" s="20"/>
      <c r="C213" s="20"/>
      <c r="D213" s="122"/>
      <c r="E213" s="122"/>
      <c r="F213" s="122"/>
      <c r="G213" s="122"/>
      <c r="H213" s="123"/>
      <c r="I213" s="123"/>
      <c r="J213" s="123"/>
      <c r="K213" s="21"/>
      <c r="L213" s="20"/>
      <c r="M213" s="20"/>
      <c r="N213" s="20"/>
      <c r="O213" s="20"/>
      <c r="P213" s="21"/>
      <c r="Q213" s="20"/>
      <c r="R213" s="20"/>
      <c r="S213" s="20"/>
      <c r="T213" s="20"/>
      <c r="X213" s="20"/>
      <c r="Y213" s="20"/>
      <c r="Z213" s="20"/>
      <c r="AA213" s="20"/>
      <c r="AB213" s="121"/>
      <c r="AC213" s="20"/>
    </row>
    <row r="214" spans="2:29" ht="14.55" customHeight="1" collapsed="1" x14ac:dyDescent="0.3">
      <c r="B214" s="20"/>
      <c r="C214" s="20"/>
      <c r="D214" s="122"/>
      <c r="E214" s="122"/>
      <c r="F214" s="122"/>
      <c r="G214" s="122"/>
      <c r="H214" s="123"/>
      <c r="I214" s="123"/>
      <c r="J214" s="123"/>
      <c r="K214" s="21"/>
      <c r="L214" s="20"/>
      <c r="M214" s="20"/>
      <c r="N214" s="20"/>
      <c r="O214" s="20"/>
      <c r="P214" s="21"/>
      <c r="Q214" s="20"/>
      <c r="R214" s="20"/>
      <c r="S214" s="20"/>
      <c r="T214" s="20"/>
      <c r="X214" s="20"/>
      <c r="Y214" s="20"/>
      <c r="Z214" s="20"/>
      <c r="AA214" s="20"/>
      <c r="AB214" s="121"/>
      <c r="AC214" s="20"/>
    </row>
    <row r="215" spans="2:29" ht="30" customHeight="1" thickBot="1" x14ac:dyDescent="0.35">
      <c r="B215" s="490" t="s">
        <v>365</v>
      </c>
      <c r="C215" s="490"/>
      <c r="D215" s="71" t="e">
        <f>IF(AND(D216&gt;=0.1,D216&lt;0.2),"B",IF(AND(D216&gt;=0.2,D216&lt;0.3),"C",IF(AND(D216&gt;=0.3,D216&lt;0.4),"D",IF(AND(D216&gt;=0.4,D216&lt;0.5),"E",IF(AND(D216&gt;=0.5,D216&lt;0.6),"F",IF(AND(D216&gt;=0.6,D216&lt;0.7),"G",IF(AND(D216&gt;=0.7,D216&lt;0.8),"H",IF(AND(D216&gt;=0.8,D216&lt;0.9),"I",IF(AND(D216&lt;0.1),"A",IF(AND(D216&gt;=0.9),"J"))))))))))</f>
        <v>#REF!</v>
      </c>
      <c r="E215" s="71"/>
      <c r="F215" s="20"/>
      <c r="G215" s="20"/>
      <c r="H215" s="20"/>
      <c r="I215" s="20"/>
      <c r="J215" s="20"/>
      <c r="K215" s="21"/>
      <c r="L215" s="20"/>
      <c r="M215" s="20"/>
      <c r="N215" s="20"/>
      <c r="O215" s="20"/>
      <c r="P215" s="21"/>
      <c r="Q215" s="20"/>
      <c r="R215" s="20"/>
      <c r="S215" s="20"/>
      <c r="T215" s="20"/>
      <c r="X215" s="20"/>
      <c r="Y215" s="20"/>
      <c r="Z215" s="20"/>
      <c r="AA215" s="20"/>
      <c r="AB215" s="124"/>
      <c r="AC215" s="20"/>
    </row>
    <row r="216" spans="2:29" ht="13.95" customHeight="1" thickTop="1" x14ac:dyDescent="0.3">
      <c r="B216" s="70"/>
      <c r="C216" s="70"/>
      <c r="D216" s="120" t="e">
        <f>#REF!/(3*3)</f>
        <v>#REF!</v>
      </c>
      <c r="E216" s="120"/>
      <c r="F216" s="20"/>
      <c r="G216" s="20"/>
      <c r="H216" s="20"/>
      <c r="I216" s="20"/>
      <c r="J216" s="20"/>
      <c r="K216" s="21"/>
      <c r="L216" s="20"/>
      <c r="M216" s="20"/>
      <c r="N216" s="20"/>
      <c r="O216" s="20"/>
      <c r="P216" s="21"/>
      <c r="Q216" s="20"/>
      <c r="R216" s="20"/>
      <c r="S216" s="20"/>
      <c r="T216" s="20"/>
    </row>
    <row r="217" spans="2:29" ht="64.95" customHeight="1" x14ac:dyDescent="0.3">
      <c r="B217" s="500" t="s">
        <v>366</v>
      </c>
      <c r="C217" s="500"/>
      <c r="D217" s="493" t="s">
        <v>180</v>
      </c>
      <c r="E217" s="493"/>
      <c r="F217" s="493"/>
      <c r="G217" s="493" t="s">
        <v>367</v>
      </c>
      <c r="H217" s="493"/>
      <c r="I217" s="493" t="s">
        <v>172</v>
      </c>
      <c r="J217" s="493"/>
      <c r="K217" s="21"/>
      <c r="L217" s="20"/>
      <c r="M217" s="20"/>
      <c r="N217" s="20"/>
      <c r="O217" s="20"/>
      <c r="P217" s="21"/>
      <c r="Q217" s="20"/>
      <c r="R217" s="20"/>
      <c r="S217" s="20"/>
      <c r="T217" s="20"/>
    </row>
    <row r="218" spans="2:29" ht="25.2" customHeight="1" x14ac:dyDescent="0.3">
      <c r="B218" s="500"/>
      <c r="C218" s="500"/>
      <c r="D218" s="494"/>
      <c r="E218" s="494"/>
      <c r="F218" s="494"/>
      <c r="G218" s="494"/>
      <c r="H218" s="494"/>
      <c r="I218" s="494" t="s">
        <v>19</v>
      </c>
      <c r="J218" s="494"/>
      <c r="K218" s="21"/>
      <c r="L218" s="20"/>
      <c r="M218" s="20"/>
      <c r="N218" s="20"/>
      <c r="O218" s="20"/>
      <c r="P218" s="21"/>
      <c r="Q218" s="20"/>
      <c r="R218" s="20"/>
      <c r="S218" s="20"/>
      <c r="T218" s="20"/>
    </row>
    <row r="219" spans="2:29" ht="64.95" customHeight="1" x14ac:dyDescent="0.3">
      <c r="B219" s="500" t="s">
        <v>368</v>
      </c>
      <c r="C219" s="500"/>
      <c r="D219" s="493" t="s">
        <v>369</v>
      </c>
      <c r="E219" s="493"/>
      <c r="F219" s="493"/>
      <c r="G219" s="493" t="s">
        <v>369</v>
      </c>
      <c r="H219" s="493"/>
      <c r="I219" s="493" t="s">
        <v>369</v>
      </c>
      <c r="J219" s="493"/>
      <c r="K219" s="21"/>
      <c r="L219" s="20"/>
      <c r="M219" s="20"/>
      <c r="N219" s="20"/>
      <c r="O219" s="20"/>
      <c r="P219" s="21"/>
      <c r="Q219" s="20"/>
      <c r="R219" s="20"/>
      <c r="S219" s="20"/>
      <c r="T219" s="20"/>
    </row>
    <row r="220" spans="2:29" ht="25.2" customHeight="1" x14ac:dyDescent="0.3">
      <c r="B220" s="500"/>
      <c r="C220" s="500"/>
      <c r="D220" s="494"/>
      <c r="E220" s="494"/>
      <c r="F220" s="494"/>
      <c r="G220" s="494"/>
      <c r="H220" s="494"/>
      <c r="I220" s="494" t="s">
        <v>19</v>
      </c>
      <c r="J220" s="494"/>
      <c r="K220" s="21"/>
      <c r="L220" s="20"/>
      <c r="M220" s="20"/>
      <c r="N220" s="20"/>
      <c r="O220" s="20"/>
      <c r="P220" s="21"/>
      <c r="Q220" s="20"/>
      <c r="R220" s="20"/>
      <c r="S220" s="20"/>
      <c r="T220" s="20"/>
    </row>
    <row r="221" spans="2:29" x14ac:dyDescent="0.3">
      <c r="B221" s="20"/>
      <c r="C221" s="20"/>
      <c r="D221" s="20"/>
      <c r="E221" s="20"/>
      <c r="F221" s="20"/>
      <c r="G221" s="20"/>
      <c r="H221" s="20"/>
      <c r="I221" s="20"/>
      <c r="J221" s="20"/>
      <c r="K221" s="21"/>
      <c r="L221" s="20"/>
      <c r="M221" s="20"/>
      <c r="N221" s="20"/>
      <c r="O221" s="20"/>
      <c r="P221" s="21"/>
      <c r="Q221" s="20"/>
      <c r="R221" s="20"/>
      <c r="S221" s="20"/>
      <c r="T221" s="20"/>
    </row>
    <row r="222" spans="2:29" ht="13.95" customHeight="1" collapsed="1" x14ac:dyDescent="0.3">
      <c r="B222" s="20"/>
      <c r="C222" s="20"/>
      <c r="D222" s="20"/>
      <c r="E222" s="20"/>
      <c r="F222" s="20"/>
      <c r="G222" s="20"/>
      <c r="H222" s="20"/>
      <c r="I222" s="20"/>
      <c r="J222" s="20"/>
      <c r="K222" s="21"/>
      <c r="L222" s="20"/>
      <c r="M222" s="20"/>
      <c r="N222" s="20"/>
      <c r="O222" s="20"/>
      <c r="P222" s="21"/>
      <c r="Q222" s="20"/>
      <c r="R222" s="20"/>
      <c r="S222" s="20"/>
      <c r="T222" s="20"/>
    </row>
    <row r="223" spans="2:29" ht="28.8" x14ac:dyDescent="0.3">
      <c r="B223" s="490" t="s">
        <v>370</v>
      </c>
      <c r="C223" s="490"/>
      <c r="D223" s="71" t="e">
        <f>IF(AND(D224&gt;=0.1,D224&lt;0.2),"B",IF(AND(D224&gt;=0.2,D224&lt;0.3),"C",IF(AND(D224&gt;=0.3,D224&lt;0.4),"D",IF(AND(D224&gt;=0.4,D224&lt;0.5),"E",IF(AND(D224&gt;=0.5,D224&lt;0.6),"F",IF(AND(D224&gt;=0.6,D224&lt;0.7),"G",IF(AND(D224&gt;=0.7,D224&lt;0.8),"H",IF(AND(D224&gt;=0.8,D224&lt;0.9),"I",IF(AND(D224&lt;0.1),"A",IF(AND(D224&gt;=0.9),"J"))))))))))</f>
        <v>#REF!</v>
      </c>
      <c r="E223" s="71"/>
      <c r="F223" s="20"/>
      <c r="G223" s="20"/>
      <c r="H223" s="20"/>
      <c r="I223" s="20"/>
      <c r="J223" s="20"/>
      <c r="K223" s="21"/>
      <c r="L223" s="20"/>
      <c r="M223" s="20"/>
      <c r="N223" s="20"/>
      <c r="O223" s="20"/>
      <c r="P223" s="21"/>
      <c r="Q223" s="20"/>
      <c r="R223" s="20"/>
      <c r="S223" s="20"/>
      <c r="T223" s="20"/>
    </row>
    <row r="224" spans="2:29" ht="13.95" customHeight="1" x14ac:dyDescent="0.3">
      <c r="B224" s="70"/>
      <c r="C224" s="70"/>
      <c r="D224" s="120" t="e">
        <f>#REF!/(3*3)</f>
        <v>#REF!</v>
      </c>
      <c r="E224" s="120"/>
      <c r="F224" s="20"/>
      <c r="G224" s="20"/>
      <c r="H224" s="20"/>
      <c r="I224" s="20"/>
      <c r="J224" s="20"/>
      <c r="K224" s="21"/>
      <c r="L224" s="20"/>
      <c r="M224" s="20"/>
      <c r="N224" s="20"/>
      <c r="O224" s="20"/>
      <c r="P224" s="21"/>
      <c r="Q224" s="20"/>
      <c r="R224" s="20"/>
      <c r="S224" s="20"/>
      <c r="T224" s="20"/>
    </row>
    <row r="225" spans="2:20" ht="64.95" customHeight="1" x14ac:dyDescent="0.3">
      <c r="B225" s="500" t="s">
        <v>371</v>
      </c>
      <c r="C225" s="500"/>
      <c r="D225" s="493" t="s">
        <v>372</v>
      </c>
      <c r="E225" s="493"/>
      <c r="F225" s="493"/>
      <c r="G225" s="493" t="s">
        <v>373</v>
      </c>
      <c r="H225" s="493"/>
      <c r="I225" s="493" t="s">
        <v>374</v>
      </c>
      <c r="J225" s="493"/>
      <c r="K225" s="21"/>
      <c r="L225" s="20"/>
      <c r="M225" s="20"/>
      <c r="N225" s="20"/>
      <c r="O225" s="20"/>
      <c r="P225" s="21"/>
      <c r="Q225" s="20"/>
      <c r="R225" s="20"/>
      <c r="S225" s="20"/>
      <c r="T225" s="20"/>
    </row>
    <row r="226" spans="2:20" ht="25.2" customHeight="1" x14ac:dyDescent="0.3">
      <c r="B226" s="500"/>
      <c r="C226" s="500"/>
      <c r="D226" s="494"/>
      <c r="E226" s="494"/>
      <c r="F226" s="494"/>
      <c r="G226" s="494"/>
      <c r="H226" s="494"/>
      <c r="I226" s="494" t="s">
        <v>19</v>
      </c>
      <c r="J226" s="494"/>
      <c r="K226" s="21"/>
      <c r="L226" s="20"/>
      <c r="M226" s="20"/>
      <c r="N226" s="20"/>
      <c r="O226" s="20"/>
      <c r="P226" s="21"/>
      <c r="Q226" s="20"/>
      <c r="R226" s="20"/>
      <c r="S226" s="20"/>
      <c r="T226" s="20"/>
    </row>
    <row r="227" spans="2:20" ht="64.95" customHeight="1" x14ac:dyDescent="0.3">
      <c r="B227" s="500" t="s">
        <v>375</v>
      </c>
      <c r="C227" s="500"/>
      <c r="D227" s="493" t="s">
        <v>376</v>
      </c>
      <c r="E227" s="493"/>
      <c r="F227" s="493"/>
      <c r="G227" s="493" t="s">
        <v>376</v>
      </c>
      <c r="H227" s="493"/>
      <c r="I227" s="493" t="s">
        <v>376</v>
      </c>
      <c r="J227" s="493"/>
      <c r="K227" s="21"/>
      <c r="L227" s="20"/>
      <c r="M227" s="20"/>
      <c r="N227" s="20"/>
      <c r="O227" s="20"/>
      <c r="P227" s="21"/>
      <c r="Q227" s="20"/>
      <c r="R227" s="20"/>
      <c r="S227" s="20"/>
      <c r="T227" s="20"/>
    </row>
    <row r="228" spans="2:20" ht="25.2" customHeight="1" x14ac:dyDescent="0.3">
      <c r="B228" s="500"/>
      <c r="C228" s="500"/>
      <c r="D228" s="494"/>
      <c r="E228" s="494"/>
      <c r="F228" s="494"/>
      <c r="G228" s="494"/>
      <c r="H228" s="494"/>
      <c r="I228" s="494" t="s">
        <v>19</v>
      </c>
      <c r="J228" s="494"/>
      <c r="K228" s="21"/>
      <c r="L228" s="20"/>
      <c r="M228" s="20"/>
      <c r="N228" s="20"/>
      <c r="O228" s="20"/>
      <c r="P228" s="21"/>
      <c r="Q228" s="20"/>
      <c r="R228" s="20"/>
      <c r="S228" s="20"/>
      <c r="T228" s="20"/>
    </row>
    <row r="229" spans="2:20" x14ac:dyDescent="0.3">
      <c r="B229" s="125"/>
      <c r="C229" s="20"/>
      <c r="D229" s="20"/>
      <c r="E229" s="20"/>
      <c r="F229" s="20"/>
      <c r="G229" s="20"/>
      <c r="H229" s="20"/>
      <c r="I229" s="20"/>
      <c r="J229" s="20"/>
      <c r="K229" s="21"/>
      <c r="L229" s="20"/>
      <c r="M229" s="20"/>
      <c r="N229" s="20"/>
      <c r="O229" s="20"/>
      <c r="P229" s="21"/>
      <c r="Q229" s="20"/>
      <c r="R229" s="20"/>
      <c r="S229" s="20"/>
      <c r="T229" s="20"/>
    </row>
    <row r="230" spans="2:20" collapsed="1" x14ac:dyDescent="0.3">
      <c r="B230" s="126"/>
      <c r="C230" s="20"/>
      <c r="D230" s="20"/>
      <c r="E230" s="20"/>
      <c r="F230" s="20"/>
      <c r="G230" s="20"/>
      <c r="H230" s="20"/>
      <c r="I230" s="20"/>
      <c r="J230" s="20"/>
      <c r="K230" s="21"/>
      <c r="L230" s="20"/>
      <c r="M230" s="20"/>
      <c r="N230" s="20"/>
      <c r="O230" s="20"/>
      <c r="P230" s="21"/>
      <c r="Q230" s="20"/>
      <c r="R230" s="20"/>
      <c r="S230" s="20"/>
      <c r="T230" s="20"/>
    </row>
    <row r="231" spans="2:20" ht="28.8" x14ac:dyDescent="0.3">
      <c r="B231" s="490" t="s">
        <v>377</v>
      </c>
      <c r="C231" s="490"/>
      <c r="D231" s="71" t="e">
        <f>IF(AND(D232&gt;=0.1,D232&lt;0.2),"B",IF(AND(D232&gt;=0.2,D232&lt;0.3),"C",IF(AND(D232&gt;=0.3,D232&lt;0.4),"D",IF(AND(D232&gt;=0.4,D232&lt;0.5),"E",IF(AND(D232&gt;=0.5,D232&lt;0.6),"F",IF(AND(D232&gt;=0.6,D232&lt;0.7),"G",IF(AND(D232&gt;=0.7,D232&lt;0.8),"H",IF(AND(D232&gt;=0.8,D232&lt;0.9),"I",IF(AND(D232&lt;0.1),"A",IF(AND(D232&gt;=0.9),"J"))))))))))</f>
        <v>#REF!</v>
      </c>
      <c r="E231" s="71"/>
      <c r="F231" s="20"/>
      <c r="G231" s="20"/>
      <c r="H231" s="20"/>
      <c r="I231" s="20"/>
      <c r="J231" s="20"/>
      <c r="K231" s="21"/>
      <c r="L231" s="20"/>
      <c r="M231" s="20"/>
      <c r="N231" s="20"/>
      <c r="O231" s="20"/>
      <c r="P231" s="21"/>
      <c r="Q231" s="20"/>
      <c r="R231" s="20"/>
      <c r="S231" s="20"/>
      <c r="T231" s="20"/>
    </row>
    <row r="232" spans="2:20" ht="13.95" customHeight="1" x14ac:dyDescent="0.3">
      <c r="B232" s="70"/>
      <c r="C232" s="70"/>
      <c r="D232" s="120" t="e">
        <f>#REF!/(3*3*3)</f>
        <v>#REF!</v>
      </c>
      <c r="E232" s="120"/>
      <c r="F232" s="20"/>
      <c r="G232" s="20"/>
      <c r="H232" s="20"/>
      <c r="I232" s="20"/>
      <c r="J232" s="20"/>
      <c r="K232" s="21"/>
      <c r="L232" s="20"/>
      <c r="M232" s="20"/>
      <c r="N232" s="20"/>
      <c r="O232" s="20"/>
      <c r="P232" s="21"/>
      <c r="Q232" s="20"/>
      <c r="R232" s="20"/>
      <c r="S232" s="20"/>
      <c r="T232" s="20"/>
    </row>
    <row r="233" spans="2:20" ht="64.95" customHeight="1" x14ac:dyDescent="0.3">
      <c r="B233" s="500" t="s">
        <v>378</v>
      </c>
      <c r="C233" s="500"/>
      <c r="D233" s="493" t="s">
        <v>379</v>
      </c>
      <c r="E233" s="493"/>
      <c r="F233" s="493"/>
      <c r="G233" s="493" t="s">
        <v>380</v>
      </c>
      <c r="H233" s="493"/>
      <c r="I233" s="493" t="s">
        <v>381</v>
      </c>
      <c r="J233" s="493"/>
      <c r="K233" s="21"/>
      <c r="L233" s="20"/>
      <c r="M233" s="20"/>
      <c r="N233" s="20"/>
      <c r="O233" s="20"/>
      <c r="P233" s="21"/>
      <c r="Q233" s="20"/>
      <c r="R233" s="20"/>
      <c r="S233" s="20"/>
      <c r="T233" s="20"/>
    </row>
    <row r="234" spans="2:20" ht="25.2" customHeight="1" x14ac:dyDescent="0.3">
      <c r="B234" s="500"/>
      <c r="C234" s="500"/>
      <c r="D234" s="494"/>
      <c r="E234" s="494"/>
      <c r="F234" s="494"/>
      <c r="G234" s="494"/>
      <c r="H234" s="494"/>
      <c r="I234" s="494" t="s">
        <v>19</v>
      </c>
      <c r="J234" s="494"/>
      <c r="K234" s="21"/>
      <c r="L234" s="20"/>
      <c r="M234" s="20"/>
      <c r="N234" s="20"/>
      <c r="O234" s="20"/>
      <c r="P234" s="21"/>
      <c r="Q234" s="20"/>
      <c r="R234" s="20"/>
      <c r="S234" s="20"/>
      <c r="T234" s="20"/>
    </row>
    <row r="235" spans="2:20" ht="64.95" customHeight="1" x14ac:dyDescent="0.3">
      <c r="B235" s="500" t="s">
        <v>382</v>
      </c>
      <c r="C235" s="500"/>
      <c r="D235" s="493" t="s">
        <v>48</v>
      </c>
      <c r="E235" s="493"/>
      <c r="F235" s="493"/>
      <c r="G235" s="493" t="s">
        <v>383</v>
      </c>
      <c r="H235" s="493"/>
      <c r="I235" s="493" t="s">
        <v>384</v>
      </c>
      <c r="J235" s="493"/>
      <c r="K235" s="21"/>
      <c r="L235" s="20"/>
      <c r="M235" s="20"/>
      <c r="N235" s="20"/>
      <c r="O235" s="20"/>
      <c r="P235" s="21"/>
      <c r="Q235" s="20"/>
      <c r="R235" s="20"/>
      <c r="S235" s="20"/>
      <c r="T235" s="20"/>
    </row>
    <row r="236" spans="2:20" ht="25.2" customHeight="1" x14ac:dyDescent="0.3">
      <c r="B236" s="500"/>
      <c r="C236" s="500"/>
      <c r="D236" s="494"/>
      <c r="E236" s="494"/>
      <c r="F236" s="494"/>
      <c r="G236" s="494"/>
      <c r="H236" s="494"/>
      <c r="I236" s="494" t="s">
        <v>19</v>
      </c>
      <c r="J236" s="494"/>
      <c r="K236" s="21"/>
      <c r="L236" s="20"/>
      <c r="M236" s="20"/>
      <c r="N236" s="20"/>
      <c r="O236" s="20"/>
      <c r="P236" s="21"/>
      <c r="Q236" s="20"/>
      <c r="R236" s="20"/>
      <c r="S236" s="20"/>
      <c r="T236" s="20"/>
    </row>
    <row r="237" spans="2:20" ht="64.95" customHeight="1" x14ac:dyDescent="0.3">
      <c r="B237" s="500" t="s">
        <v>385</v>
      </c>
      <c r="C237" s="500"/>
      <c r="D237" s="493" t="s">
        <v>48</v>
      </c>
      <c r="E237" s="493"/>
      <c r="F237" s="493"/>
      <c r="G237" s="493" t="s">
        <v>386</v>
      </c>
      <c r="H237" s="493"/>
      <c r="I237" s="493" t="s">
        <v>387</v>
      </c>
      <c r="J237" s="493"/>
      <c r="K237" s="21"/>
      <c r="L237" s="20"/>
      <c r="M237" s="20"/>
      <c r="N237" s="20"/>
      <c r="O237" s="20"/>
      <c r="P237" s="21"/>
      <c r="Q237" s="20"/>
      <c r="R237" s="20"/>
      <c r="S237" s="20"/>
      <c r="T237" s="20"/>
    </row>
    <row r="238" spans="2:20" ht="25.2" customHeight="1" x14ac:dyDescent="0.3">
      <c r="B238" s="500"/>
      <c r="C238" s="500"/>
      <c r="D238" s="494"/>
      <c r="E238" s="494"/>
      <c r="F238" s="494"/>
      <c r="G238" s="494"/>
      <c r="H238" s="494"/>
      <c r="I238" s="494" t="s">
        <v>19</v>
      </c>
      <c r="J238" s="494"/>
      <c r="K238" s="21"/>
      <c r="L238" s="20"/>
      <c r="M238" s="20"/>
      <c r="N238" s="20"/>
      <c r="O238" s="20"/>
      <c r="P238" s="21"/>
      <c r="Q238" s="20"/>
      <c r="R238" s="20"/>
      <c r="S238" s="20"/>
      <c r="T238" s="20"/>
    </row>
    <row r="239" spans="2:20" x14ac:dyDescent="0.3">
      <c r="B239" s="20"/>
      <c r="C239" s="20"/>
      <c r="D239" s="20"/>
      <c r="E239" s="20"/>
      <c r="F239" s="20"/>
      <c r="G239" s="20"/>
      <c r="H239" s="20"/>
      <c r="I239" s="20"/>
      <c r="J239" s="20"/>
      <c r="K239" s="21"/>
      <c r="L239" s="20"/>
      <c r="M239" s="20"/>
      <c r="N239" s="20"/>
      <c r="O239" s="20"/>
      <c r="P239" s="21"/>
      <c r="Q239" s="20"/>
      <c r="R239" s="20"/>
      <c r="S239" s="20"/>
      <c r="T239" s="20"/>
    </row>
    <row r="240" spans="2:20" collapsed="1" x14ac:dyDescent="0.3">
      <c r="B240" s="20"/>
      <c r="C240" s="20"/>
      <c r="D240" s="20"/>
      <c r="E240" s="20"/>
      <c r="F240" s="20"/>
      <c r="G240" s="20"/>
      <c r="H240" s="20"/>
      <c r="I240" s="20"/>
      <c r="J240" s="20"/>
      <c r="K240" s="21"/>
      <c r="L240" s="20"/>
      <c r="M240" s="20"/>
      <c r="N240" s="20"/>
      <c r="O240" s="20"/>
      <c r="P240" s="21"/>
      <c r="Q240" s="20"/>
      <c r="R240" s="20"/>
      <c r="S240" s="20"/>
      <c r="T240" s="20"/>
    </row>
    <row r="241" spans="2:20" ht="30" customHeight="1" x14ac:dyDescent="0.3">
      <c r="B241" s="490" t="s">
        <v>388</v>
      </c>
      <c r="C241" s="490"/>
      <c r="D241" s="71" t="e">
        <f>IF(AND(D242&gt;=0.1,D242&lt;0.2),"B",IF(AND(D242&gt;=0.2,D242&lt;0.3),"C",IF(AND(D242&gt;=0.3,D242&lt;0.4),"D",IF(AND(D242&gt;=0.4,D242&lt;0.5),"E",IF(AND(D242&gt;=0.5,D242&lt;0.6),"F",IF(AND(D242&gt;=0.6,D242&lt;0.7),"G",IF(AND(D242&gt;=0.7,D242&lt;0.8),"H",IF(AND(D242&gt;=0.8,D242&lt;0.9),"I",IF(AND(D242&lt;0.1),"A",IF(AND(D242&gt;=0.9),"J"))))))))))</f>
        <v>#REF!</v>
      </c>
      <c r="E241" s="71"/>
      <c r="F241" s="20"/>
      <c r="G241" s="20"/>
      <c r="H241" s="20"/>
      <c r="I241" s="20"/>
      <c r="J241" s="20"/>
      <c r="K241" s="21"/>
      <c r="L241" s="20"/>
      <c r="M241" s="20"/>
      <c r="N241" s="20"/>
      <c r="O241" s="20"/>
      <c r="P241" s="21"/>
      <c r="Q241" s="20"/>
      <c r="R241" s="20"/>
      <c r="S241" s="20"/>
      <c r="T241" s="20"/>
    </row>
    <row r="242" spans="2:20" ht="13.95" customHeight="1" x14ac:dyDescent="0.3">
      <c r="B242" s="127"/>
      <c r="C242" s="70"/>
      <c r="D242" s="120" t="e">
        <f>#REF!/(3*3*3*3)</f>
        <v>#REF!</v>
      </c>
      <c r="E242" s="120"/>
      <c r="F242" s="20"/>
      <c r="G242" s="20"/>
      <c r="H242" s="20"/>
      <c r="I242" s="20"/>
      <c r="J242" s="20"/>
      <c r="K242" s="21"/>
      <c r="L242" s="20"/>
      <c r="M242" s="128"/>
      <c r="N242" s="20"/>
      <c r="O242" s="20"/>
      <c r="P242" s="21"/>
      <c r="Q242" s="20"/>
      <c r="R242" s="20"/>
      <c r="S242" s="20"/>
      <c r="T242" s="20"/>
    </row>
    <row r="243" spans="2:20" ht="64.95" customHeight="1" x14ac:dyDescent="0.3">
      <c r="B243" s="499" t="s">
        <v>389</v>
      </c>
      <c r="C243" s="500"/>
      <c r="D243" s="493" t="s">
        <v>369</v>
      </c>
      <c r="E243" s="493"/>
      <c r="F243" s="493"/>
      <c r="G243" s="493" t="s">
        <v>369</v>
      </c>
      <c r="H243" s="493"/>
      <c r="I243" s="493" t="s">
        <v>369</v>
      </c>
      <c r="J243" s="493"/>
      <c r="K243" s="21"/>
      <c r="L243" s="20"/>
      <c r="M243" s="128"/>
      <c r="N243" s="20"/>
      <c r="O243" s="20"/>
      <c r="P243" s="21"/>
      <c r="Q243" s="20"/>
      <c r="R243" s="20"/>
      <c r="S243" s="20"/>
      <c r="T243" s="20"/>
    </row>
    <row r="244" spans="2:20" ht="25.2" customHeight="1" thickBot="1" x14ac:dyDescent="0.35">
      <c r="B244" s="499"/>
      <c r="C244" s="500"/>
      <c r="D244" s="494"/>
      <c r="E244" s="494"/>
      <c r="F244" s="494"/>
      <c r="G244" s="495"/>
      <c r="H244" s="496"/>
      <c r="I244" s="494" t="s">
        <v>19</v>
      </c>
      <c r="J244" s="494"/>
      <c r="K244" s="21"/>
      <c r="L244" s="20"/>
      <c r="M244" s="128"/>
      <c r="N244" s="20"/>
      <c r="O244" s="20"/>
      <c r="P244" s="21"/>
      <c r="Q244" s="20"/>
      <c r="R244" s="20"/>
      <c r="S244" s="20"/>
      <c r="T244" s="20"/>
    </row>
    <row r="245" spans="2:20" ht="64.95" customHeight="1" x14ac:dyDescent="0.3">
      <c r="B245" s="497" t="s">
        <v>390</v>
      </c>
      <c r="C245" s="498"/>
      <c r="D245" s="493" t="s">
        <v>369</v>
      </c>
      <c r="E245" s="493"/>
      <c r="F245" s="493"/>
      <c r="G245" s="493" t="s">
        <v>369</v>
      </c>
      <c r="H245" s="493"/>
      <c r="I245" s="493" t="s">
        <v>369</v>
      </c>
      <c r="J245" s="493"/>
      <c r="K245" s="21"/>
      <c r="L245" s="20"/>
      <c r="M245" s="128"/>
      <c r="N245" s="20"/>
      <c r="O245" s="20"/>
      <c r="P245" s="21"/>
      <c r="Q245" s="20"/>
      <c r="R245" s="20"/>
      <c r="S245" s="20"/>
      <c r="T245" s="20"/>
    </row>
    <row r="246" spans="2:20" ht="25.2" customHeight="1" thickBot="1" x14ac:dyDescent="0.35">
      <c r="B246" s="499"/>
      <c r="C246" s="500"/>
      <c r="D246" s="494"/>
      <c r="E246" s="494"/>
      <c r="F246" s="494"/>
      <c r="G246" s="495"/>
      <c r="H246" s="496"/>
      <c r="I246" s="494" t="s">
        <v>19</v>
      </c>
      <c r="J246" s="494"/>
      <c r="K246" s="21"/>
      <c r="L246" s="20"/>
      <c r="M246" s="128"/>
      <c r="N246" s="20"/>
      <c r="O246" s="20"/>
      <c r="P246" s="21"/>
      <c r="Q246" s="20"/>
      <c r="R246" s="20"/>
      <c r="S246" s="20"/>
      <c r="T246" s="20"/>
    </row>
    <row r="247" spans="2:20" ht="64.95" customHeight="1" x14ac:dyDescent="0.3">
      <c r="B247" s="497" t="s">
        <v>391</v>
      </c>
      <c r="C247" s="498"/>
      <c r="D247" s="493" t="s">
        <v>369</v>
      </c>
      <c r="E247" s="493"/>
      <c r="F247" s="493"/>
      <c r="G247" s="493" t="s">
        <v>369</v>
      </c>
      <c r="H247" s="493"/>
      <c r="I247" s="493" t="s">
        <v>369</v>
      </c>
      <c r="J247" s="493"/>
      <c r="K247" s="21"/>
      <c r="L247" s="20"/>
      <c r="M247" s="128"/>
      <c r="N247" s="20"/>
      <c r="O247" s="20"/>
      <c r="P247" s="21"/>
      <c r="Q247" s="20"/>
      <c r="R247" s="20"/>
      <c r="S247" s="20"/>
      <c r="T247" s="20"/>
    </row>
    <row r="248" spans="2:20" ht="25.2" customHeight="1" x14ac:dyDescent="0.3">
      <c r="B248" s="499"/>
      <c r="C248" s="500"/>
      <c r="D248" s="494"/>
      <c r="E248" s="494"/>
      <c r="F248" s="494"/>
      <c r="G248" s="495"/>
      <c r="H248" s="496"/>
      <c r="I248" s="494" t="s">
        <v>19</v>
      </c>
      <c r="J248" s="494"/>
      <c r="K248" s="21"/>
      <c r="L248" s="20"/>
      <c r="M248" s="128"/>
      <c r="N248" s="20"/>
      <c r="O248" s="20"/>
      <c r="P248" s="21"/>
      <c r="Q248" s="20"/>
      <c r="R248" s="20"/>
      <c r="S248" s="20"/>
      <c r="T248" s="20"/>
    </row>
    <row r="249" spans="2:20" ht="64.95" customHeight="1" x14ac:dyDescent="0.3">
      <c r="B249" s="491" t="s">
        <v>392</v>
      </c>
      <c r="C249" s="492"/>
      <c r="D249" s="493" t="s">
        <v>369</v>
      </c>
      <c r="E249" s="493"/>
      <c r="F249" s="493"/>
      <c r="G249" s="493" t="s">
        <v>369</v>
      </c>
      <c r="H249" s="493"/>
      <c r="I249" s="493" t="s">
        <v>369</v>
      </c>
      <c r="J249" s="493"/>
      <c r="K249" s="21"/>
      <c r="L249" s="20"/>
      <c r="M249" s="128"/>
      <c r="N249" s="20"/>
      <c r="O249" s="20"/>
      <c r="P249" s="21"/>
      <c r="Q249" s="20"/>
      <c r="R249" s="20"/>
      <c r="S249" s="20"/>
      <c r="T249" s="20"/>
    </row>
    <row r="250" spans="2:20" ht="25.2" customHeight="1" x14ac:dyDescent="0.3">
      <c r="B250" s="491"/>
      <c r="C250" s="492"/>
      <c r="D250" s="494"/>
      <c r="E250" s="494"/>
      <c r="F250" s="494"/>
      <c r="G250" s="495"/>
      <c r="H250" s="496"/>
      <c r="I250" s="494" t="s">
        <v>19</v>
      </c>
      <c r="J250" s="494"/>
      <c r="K250" s="21"/>
      <c r="L250" s="20"/>
      <c r="M250" s="128"/>
      <c r="N250" s="20"/>
      <c r="O250" s="20"/>
      <c r="P250" s="21"/>
      <c r="Q250" s="20"/>
      <c r="R250" s="20"/>
      <c r="S250" s="20"/>
      <c r="T250" s="20"/>
    </row>
    <row r="251" spans="2:20" ht="14.55" customHeight="1" thickBot="1" x14ac:dyDescent="0.35">
      <c r="B251" s="129"/>
      <c r="C251" s="130"/>
      <c r="D251" s="131"/>
      <c r="E251" s="131"/>
      <c r="F251" s="131"/>
      <c r="G251" s="131"/>
      <c r="H251" s="132"/>
      <c r="I251" s="132"/>
      <c r="J251" s="132"/>
      <c r="K251" s="133"/>
      <c r="L251" s="130"/>
      <c r="M251" s="134"/>
      <c r="N251" s="20"/>
      <c r="O251" s="20"/>
      <c r="P251" s="21"/>
      <c r="Q251" s="20"/>
      <c r="R251" s="20"/>
      <c r="S251" s="20"/>
      <c r="T251" s="20"/>
    </row>
    <row r="252" spans="2:20" ht="15.75" customHeight="1" x14ac:dyDescent="0.3">
      <c r="B252" s="20"/>
      <c r="C252" s="20"/>
      <c r="D252" s="20"/>
      <c r="E252" s="20"/>
      <c r="F252" s="20"/>
      <c r="G252" s="20"/>
      <c r="H252" s="20"/>
      <c r="I252" s="20"/>
      <c r="J252" s="20"/>
      <c r="K252" s="21"/>
      <c r="L252" s="20"/>
      <c r="M252" s="20"/>
      <c r="N252" s="20"/>
      <c r="O252" s="20"/>
      <c r="P252" s="21"/>
      <c r="Q252" s="20"/>
      <c r="R252" s="20"/>
      <c r="S252" s="20"/>
      <c r="T252" s="20"/>
    </row>
    <row r="253" spans="2:20" ht="23.4" x14ac:dyDescent="0.3">
      <c r="B253" s="490" t="s">
        <v>393</v>
      </c>
      <c r="C253" s="490"/>
      <c r="D253" s="20"/>
      <c r="E253" s="20"/>
      <c r="F253" s="20"/>
      <c r="G253" s="20"/>
      <c r="H253" s="20"/>
      <c r="I253" s="20"/>
      <c r="J253" s="20"/>
      <c r="K253" s="21"/>
      <c r="L253" s="20"/>
      <c r="M253" s="20"/>
      <c r="N253" s="20"/>
      <c r="O253" s="20"/>
      <c r="P253" s="21"/>
      <c r="Q253" s="20"/>
      <c r="R253" s="20"/>
      <c r="S253" s="20"/>
      <c r="T253" s="20"/>
    </row>
    <row r="254" spans="2:20" x14ac:dyDescent="0.3">
      <c r="N254" s="20"/>
      <c r="O254" s="20"/>
      <c r="P254" s="21"/>
      <c r="Q254" s="20"/>
      <c r="R254" s="20"/>
      <c r="S254" s="20"/>
      <c r="T254" s="20"/>
    </row>
    <row r="255" spans="2:20" x14ac:dyDescent="0.3">
      <c r="N255" s="20"/>
    </row>
  </sheetData>
  <mergeCells count="128">
    <mergeCell ref="A1:M1"/>
    <mergeCell ref="K5:L5"/>
    <mergeCell ref="O8:O10"/>
    <mergeCell ref="A11:M11"/>
    <mergeCell ref="D13:D14"/>
    <mergeCell ref="F13:F14"/>
    <mergeCell ref="H13:H14"/>
    <mergeCell ref="C32:C33"/>
    <mergeCell ref="E34:E40"/>
    <mergeCell ref="B45:C45"/>
    <mergeCell ref="B62:B63"/>
    <mergeCell ref="B203:C203"/>
    <mergeCell ref="B205:C206"/>
    <mergeCell ref="D205:F205"/>
    <mergeCell ref="A16:M16"/>
    <mergeCell ref="G19:H19"/>
    <mergeCell ref="A21:M21"/>
    <mergeCell ref="A28:M28"/>
    <mergeCell ref="B30:F30"/>
    <mergeCell ref="G30:M30"/>
    <mergeCell ref="G205:H205"/>
    <mergeCell ref="I205:J205"/>
    <mergeCell ref="D206:F206"/>
    <mergeCell ref="G206:H206"/>
    <mergeCell ref="I206:J206"/>
    <mergeCell ref="B207:C208"/>
    <mergeCell ref="D207:F207"/>
    <mergeCell ref="G207:H207"/>
    <mergeCell ref="I207:J207"/>
    <mergeCell ref="D208:F208"/>
    <mergeCell ref="G208:H208"/>
    <mergeCell ref="I208:J208"/>
    <mergeCell ref="B209:C210"/>
    <mergeCell ref="D209:F209"/>
    <mergeCell ref="G209:H209"/>
    <mergeCell ref="I209:J209"/>
    <mergeCell ref="D210:F210"/>
    <mergeCell ref="G210:H210"/>
    <mergeCell ref="I210:J210"/>
    <mergeCell ref="B215:C215"/>
    <mergeCell ref="B217:C218"/>
    <mergeCell ref="D217:F217"/>
    <mergeCell ref="G217:H217"/>
    <mergeCell ref="I217:J217"/>
    <mergeCell ref="D218:F218"/>
    <mergeCell ref="G218:H218"/>
    <mergeCell ref="I218:J218"/>
    <mergeCell ref="B211:C212"/>
    <mergeCell ref="D211:F211"/>
    <mergeCell ref="G211:H211"/>
    <mergeCell ref="I211:J211"/>
    <mergeCell ref="D212:F212"/>
    <mergeCell ref="G212:H212"/>
    <mergeCell ref="I212:J212"/>
    <mergeCell ref="B223:C223"/>
    <mergeCell ref="B225:C226"/>
    <mergeCell ref="D225:F225"/>
    <mergeCell ref="G225:H225"/>
    <mergeCell ref="I225:J225"/>
    <mergeCell ref="D226:F226"/>
    <mergeCell ref="G226:H226"/>
    <mergeCell ref="I226:J226"/>
    <mergeCell ref="B219:C220"/>
    <mergeCell ref="D219:F219"/>
    <mergeCell ref="G219:H219"/>
    <mergeCell ref="I219:J219"/>
    <mergeCell ref="D220:F220"/>
    <mergeCell ref="G220:H220"/>
    <mergeCell ref="I220:J220"/>
    <mergeCell ref="B231:C231"/>
    <mergeCell ref="B233:C234"/>
    <mergeCell ref="D233:F233"/>
    <mergeCell ref="G233:H233"/>
    <mergeCell ref="I233:J233"/>
    <mergeCell ref="D234:F234"/>
    <mergeCell ref="G234:H234"/>
    <mergeCell ref="I234:J234"/>
    <mergeCell ref="B227:C228"/>
    <mergeCell ref="D227:F227"/>
    <mergeCell ref="G227:H227"/>
    <mergeCell ref="I227:J227"/>
    <mergeCell ref="D228:F228"/>
    <mergeCell ref="G228:H228"/>
    <mergeCell ref="I228:J228"/>
    <mergeCell ref="B237:C238"/>
    <mergeCell ref="D237:F237"/>
    <mergeCell ref="G237:H237"/>
    <mergeCell ref="I237:J237"/>
    <mergeCell ref="D238:F238"/>
    <mergeCell ref="G238:H238"/>
    <mergeCell ref="I238:J238"/>
    <mergeCell ref="B235:C236"/>
    <mergeCell ref="D235:F235"/>
    <mergeCell ref="G235:H235"/>
    <mergeCell ref="I235:J235"/>
    <mergeCell ref="D236:F236"/>
    <mergeCell ref="G236:H236"/>
    <mergeCell ref="I236:J236"/>
    <mergeCell ref="B245:C246"/>
    <mergeCell ref="D245:F245"/>
    <mergeCell ref="G245:H245"/>
    <mergeCell ref="I245:J245"/>
    <mergeCell ref="D246:F246"/>
    <mergeCell ref="G246:H246"/>
    <mergeCell ref="I246:J246"/>
    <mergeCell ref="B241:C241"/>
    <mergeCell ref="B243:C244"/>
    <mergeCell ref="D243:F243"/>
    <mergeCell ref="G243:H243"/>
    <mergeCell ref="I243:J243"/>
    <mergeCell ref="D244:F244"/>
    <mergeCell ref="G244:H244"/>
    <mergeCell ref="I244:J244"/>
    <mergeCell ref="B253:C253"/>
    <mergeCell ref="B249:C250"/>
    <mergeCell ref="D249:F249"/>
    <mergeCell ref="G249:H249"/>
    <mergeCell ref="I249:J249"/>
    <mergeCell ref="D250:F250"/>
    <mergeCell ref="G250:H250"/>
    <mergeCell ref="I250:J250"/>
    <mergeCell ref="B247:C248"/>
    <mergeCell ref="D247:F247"/>
    <mergeCell ref="G247:H247"/>
    <mergeCell ref="I247:J247"/>
    <mergeCell ref="D248:F248"/>
    <mergeCell ref="G248:H248"/>
    <mergeCell ref="I248:J248"/>
  </mergeCells>
  <conditionalFormatting sqref="D45:D47">
    <cfRule type="containsText" dxfId="179" priority="17" operator="containsText" text="C">
      <formula>NOT(ISERROR(SEARCH("C",D45)))</formula>
    </cfRule>
    <cfRule type="containsText" dxfId="178" priority="16" operator="containsText" text="D">
      <formula>NOT(ISERROR(SEARCH("D",D45)))</formula>
    </cfRule>
    <cfRule type="containsText" dxfId="177" priority="20" operator="containsText" text="E">
      <formula>NOT(ISERROR(SEARCH("E",D45)))</formula>
    </cfRule>
    <cfRule type="containsText" dxfId="176" priority="18" operator="containsText" text="B">
      <formula>NOT(ISERROR(SEARCH("B",D45)))</formula>
    </cfRule>
    <cfRule type="containsText" dxfId="175" priority="19" operator="containsText" text="A">
      <formula>NOT(ISERROR(SEARCH("A",D45)))</formula>
    </cfRule>
    <cfRule type="containsText" dxfId="174" priority="11" operator="containsText" text="J">
      <formula>NOT(ISERROR(SEARCH("J",D45)))</formula>
    </cfRule>
    <cfRule type="containsText" dxfId="173" priority="12" operator="containsText" text="I">
      <formula>NOT(ISERROR(SEARCH("I",D45)))</formula>
    </cfRule>
    <cfRule type="containsText" dxfId="172" priority="13" operator="containsText" text="H">
      <formula>NOT(ISERROR(SEARCH("H",D45)))</formula>
    </cfRule>
    <cfRule type="containsText" dxfId="171" priority="14" operator="containsText" text="G">
      <formula>NOT(ISERROR(SEARCH("G",D45)))</formula>
    </cfRule>
    <cfRule type="containsText" dxfId="170" priority="15" operator="containsText" text="F">
      <formula>NOT(ISERROR(SEARCH("F",D45)))</formula>
    </cfRule>
  </conditionalFormatting>
  <conditionalFormatting sqref="D215:E215">
    <cfRule type="containsText" dxfId="169" priority="37" operator="containsText" text="C">
      <formula>NOT(ISERROR(SEARCH("C",D215)))</formula>
    </cfRule>
    <cfRule type="containsText" dxfId="168" priority="38" operator="containsText" text="B">
      <formula>NOT(ISERROR(SEARCH("B",D215)))</formula>
    </cfRule>
    <cfRule type="containsText" dxfId="167" priority="36" operator="containsText" text="D">
      <formula>NOT(ISERROR(SEARCH("D",D215)))</formula>
    </cfRule>
    <cfRule type="containsText" dxfId="166" priority="39" operator="containsText" text="A">
      <formula>NOT(ISERROR(SEARCH("A",D215)))</formula>
    </cfRule>
    <cfRule type="containsText" dxfId="165" priority="40" operator="containsText" text="E">
      <formula>NOT(ISERROR(SEARCH("E",D215)))</formula>
    </cfRule>
    <cfRule type="containsText" dxfId="164" priority="31" operator="containsText" text="J">
      <formula>NOT(ISERROR(SEARCH("J",D215)))</formula>
    </cfRule>
    <cfRule type="containsText" dxfId="163" priority="32" operator="containsText" text="I">
      <formula>NOT(ISERROR(SEARCH("I",D215)))</formula>
    </cfRule>
    <cfRule type="containsText" dxfId="162" priority="33" operator="containsText" text="H">
      <formula>NOT(ISERROR(SEARCH("H",D215)))</formula>
    </cfRule>
    <cfRule type="containsText" dxfId="161" priority="34" operator="containsText" text="G">
      <formula>NOT(ISERROR(SEARCH("G",D215)))</formula>
    </cfRule>
    <cfRule type="containsText" dxfId="160" priority="35" operator="containsText" text="F">
      <formula>NOT(ISERROR(SEARCH("F",D215)))</formula>
    </cfRule>
  </conditionalFormatting>
  <conditionalFormatting sqref="D223:E223">
    <cfRule type="containsText" dxfId="159" priority="46" operator="containsText" text="D">
      <formula>NOT(ISERROR(SEARCH("D",D223)))</formula>
    </cfRule>
    <cfRule type="containsText" dxfId="158" priority="45" operator="containsText" text="F">
      <formula>NOT(ISERROR(SEARCH("F",D223)))</formula>
    </cfRule>
    <cfRule type="containsText" dxfId="157" priority="43" operator="containsText" text="H">
      <formula>NOT(ISERROR(SEARCH("H",D223)))</formula>
    </cfRule>
    <cfRule type="containsText" dxfId="156" priority="42" operator="containsText" text="I">
      <formula>NOT(ISERROR(SEARCH("I",D223)))</formula>
    </cfRule>
    <cfRule type="containsText" dxfId="155" priority="41" operator="containsText" text="J">
      <formula>NOT(ISERROR(SEARCH("J",D223)))</formula>
    </cfRule>
    <cfRule type="containsText" dxfId="154" priority="50" operator="containsText" text="E">
      <formula>NOT(ISERROR(SEARCH("E",D223)))</formula>
    </cfRule>
    <cfRule type="containsText" dxfId="153" priority="49" operator="containsText" text="A">
      <formula>NOT(ISERROR(SEARCH("A",D223)))</formula>
    </cfRule>
    <cfRule type="containsText" dxfId="152" priority="44" operator="containsText" text="G">
      <formula>NOT(ISERROR(SEARCH("G",D223)))</formula>
    </cfRule>
    <cfRule type="containsText" dxfId="151" priority="48" operator="containsText" text="B">
      <formula>NOT(ISERROR(SEARCH("B",D223)))</formula>
    </cfRule>
    <cfRule type="containsText" dxfId="150" priority="47" operator="containsText" text="C">
      <formula>NOT(ISERROR(SEARCH("C",D223)))</formula>
    </cfRule>
  </conditionalFormatting>
  <conditionalFormatting sqref="D231:E231">
    <cfRule type="containsText" dxfId="149" priority="51" operator="containsText" text="J">
      <formula>NOT(ISERROR(SEARCH("J",D231)))</formula>
    </cfRule>
    <cfRule type="containsText" dxfId="148" priority="52" operator="containsText" text="I">
      <formula>NOT(ISERROR(SEARCH("I",D231)))</formula>
    </cfRule>
    <cfRule type="containsText" dxfId="147" priority="53" operator="containsText" text="H">
      <formula>NOT(ISERROR(SEARCH("H",D231)))</formula>
    </cfRule>
    <cfRule type="containsText" dxfId="146" priority="54" operator="containsText" text="G">
      <formula>NOT(ISERROR(SEARCH("G",D231)))</formula>
    </cfRule>
    <cfRule type="containsText" dxfId="145" priority="55" operator="containsText" text="F">
      <formula>NOT(ISERROR(SEARCH("F",D231)))</formula>
    </cfRule>
    <cfRule type="containsText" dxfId="144" priority="56" operator="containsText" text="D">
      <formula>NOT(ISERROR(SEARCH("D",D231)))</formula>
    </cfRule>
    <cfRule type="containsText" dxfId="143" priority="57" operator="containsText" text="C">
      <formula>NOT(ISERROR(SEARCH("C",D231)))</formula>
    </cfRule>
    <cfRule type="containsText" dxfId="142" priority="58" operator="containsText" text="B">
      <formula>NOT(ISERROR(SEARCH("B",D231)))</formula>
    </cfRule>
    <cfRule type="containsText" dxfId="141" priority="59" operator="containsText" text="A">
      <formula>NOT(ISERROR(SEARCH("A",D231)))</formula>
    </cfRule>
    <cfRule type="containsText" dxfId="140" priority="60" operator="containsText" text="E">
      <formula>NOT(ISERROR(SEARCH("E",D231)))</formula>
    </cfRule>
  </conditionalFormatting>
  <conditionalFormatting sqref="D241:E241">
    <cfRule type="containsText" dxfId="139" priority="62" operator="containsText" text="I">
      <formula>NOT(ISERROR(SEARCH("I",D241)))</formula>
    </cfRule>
    <cfRule type="containsText" dxfId="138" priority="61" operator="containsText" text="J">
      <formula>NOT(ISERROR(SEARCH("J",D241)))</formula>
    </cfRule>
    <cfRule type="containsText" dxfId="137" priority="63" operator="containsText" text="H">
      <formula>NOT(ISERROR(SEARCH("H",D241)))</formula>
    </cfRule>
    <cfRule type="containsText" dxfId="136" priority="64" operator="containsText" text="G">
      <formula>NOT(ISERROR(SEARCH("G",D241)))</formula>
    </cfRule>
    <cfRule type="containsText" dxfId="135" priority="65" operator="containsText" text="F">
      <formula>NOT(ISERROR(SEARCH("F",D241)))</formula>
    </cfRule>
    <cfRule type="containsText" dxfId="134" priority="66" operator="containsText" text="D">
      <formula>NOT(ISERROR(SEARCH("D",D241)))</formula>
    </cfRule>
    <cfRule type="containsText" dxfId="133" priority="67" operator="containsText" text="C">
      <formula>NOT(ISERROR(SEARCH("C",D241)))</formula>
    </cfRule>
    <cfRule type="containsText" dxfId="132" priority="68" operator="containsText" text="B">
      <formula>NOT(ISERROR(SEARCH("B",D241)))</formula>
    </cfRule>
    <cfRule type="containsText" dxfId="131" priority="69" operator="containsText" text="A">
      <formula>NOT(ISERROR(SEARCH("A",D241)))</formula>
    </cfRule>
    <cfRule type="containsText" dxfId="130" priority="70" operator="containsText" text="E">
      <formula>NOT(ISERROR(SEARCH("E",D241)))</formula>
    </cfRule>
  </conditionalFormatting>
  <conditionalFormatting sqref="E34">
    <cfRule type="cellIs" dxfId="129" priority="6" operator="equal">
      <formula>"E"</formula>
    </cfRule>
    <cfRule type="cellIs" dxfId="128" priority="5" operator="equal">
      <formula>"F"</formula>
    </cfRule>
    <cfRule type="cellIs" dxfId="127" priority="4" operator="equal">
      <formula>"G"</formula>
    </cfRule>
    <cfRule type="cellIs" dxfId="126" priority="3" operator="equal">
      <formula>"H"</formula>
    </cfRule>
    <cfRule type="cellIs" dxfId="125" priority="2" operator="equal">
      <formula>"I"</formula>
    </cfRule>
    <cfRule type="cellIs" dxfId="124" priority="1" operator="equal">
      <formula>"J"</formula>
    </cfRule>
    <cfRule type="cellIs" dxfId="123" priority="9" operator="equal">
      <formula>"B"</formula>
    </cfRule>
    <cfRule type="cellIs" dxfId="122" priority="10" operator="equal">
      <formula>"A"</formula>
    </cfRule>
    <cfRule type="cellIs" dxfId="121" priority="8" operator="equal">
      <formula>"C"</formula>
    </cfRule>
    <cfRule type="cellIs" dxfId="120" priority="7" operator="equal">
      <formula>"D"</formula>
    </cfRule>
  </conditionalFormatting>
  <conditionalFormatting sqref="E45:K45 D203:E203">
    <cfRule type="containsText" dxfId="119" priority="30" operator="containsText" text="E">
      <formula>NOT(ISERROR(SEARCH("E",D45)))</formula>
    </cfRule>
    <cfRule type="containsText" dxfId="118" priority="29" operator="containsText" text="A">
      <formula>NOT(ISERROR(SEARCH("A",D45)))</formula>
    </cfRule>
    <cfRule type="containsText" dxfId="117" priority="27" operator="containsText" text="C">
      <formula>NOT(ISERROR(SEARCH("C",D45)))</formula>
    </cfRule>
    <cfRule type="containsText" dxfId="116" priority="26" operator="containsText" text="D">
      <formula>NOT(ISERROR(SEARCH("D",D45)))</formula>
    </cfRule>
    <cfRule type="containsText" dxfId="115" priority="25" operator="containsText" text="F">
      <formula>NOT(ISERROR(SEARCH("F",D45)))</formula>
    </cfRule>
    <cfRule type="containsText" dxfId="114" priority="24" operator="containsText" text="G">
      <formula>NOT(ISERROR(SEARCH("G",D45)))</formula>
    </cfRule>
    <cfRule type="containsText" dxfId="113" priority="23" operator="containsText" text="H">
      <formula>NOT(ISERROR(SEARCH("H",D45)))</formula>
    </cfRule>
    <cfRule type="containsText" dxfId="112" priority="28" operator="containsText" text="B">
      <formula>NOT(ISERROR(SEARCH("B",D45)))</formula>
    </cfRule>
    <cfRule type="containsText" dxfId="111" priority="22" operator="containsText" text="I">
      <formula>NOT(ISERROR(SEARCH("I",D45)))</formula>
    </cfRule>
    <cfRule type="containsText" dxfId="110" priority="21" operator="containsText" text="J">
      <formula>NOT(ISERROR(SEARCH("J",D45)))</formula>
    </cfRule>
  </conditionalFormatting>
  <dataValidations count="1">
    <dataValidation type="list" allowBlank="1" showInputMessage="1" showErrorMessage="1" sqref="I19" xr:uid="{24F225B3-B9B7-4932-966D-140380F13667}">
      <formula1>"yes, 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B3CCA2A-9EB6-4EA9-8A01-07562A066A77}">
          <x14:formula1>
            <xm:f>DGliste!$H$2:$H$3</xm:f>
          </x14:formula1>
          <xm:sqref>E19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72FCA-4CA8-4EDC-AD5B-7D7A2AC65B0F}">
  <sheetPr>
    <tabColor theme="9"/>
  </sheetPr>
  <dimension ref="A1:CY106"/>
  <sheetViews>
    <sheetView topLeftCell="BZ1" zoomScale="55" zoomScaleNormal="55" workbookViewId="0">
      <selection activeCell="M24" sqref="M24"/>
    </sheetView>
  </sheetViews>
  <sheetFormatPr defaultColWidth="8.77734375" defaultRowHeight="14.4" x14ac:dyDescent="0.3"/>
  <cols>
    <col min="1" max="1" width="16.33203125" customWidth="1"/>
    <col min="2" max="2" width="12.44140625" customWidth="1"/>
    <col min="4" max="6" width="23.77734375" customWidth="1"/>
    <col min="7" max="7" width="14.44140625" customWidth="1"/>
    <col min="10" max="17" width="13.44140625" customWidth="1"/>
    <col min="19" max="26" width="13.44140625" customWidth="1"/>
    <col min="28" max="35" width="13.44140625" customWidth="1"/>
    <col min="37" max="44" width="13.44140625" customWidth="1"/>
    <col min="46" max="53" width="13.44140625" customWidth="1"/>
    <col min="55" max="62" width="13.44140625" customWidth="1"/>
    <col min="64" max="71" width="13.44140625" customWidth="1"/>
    <col min="73" max="80" width="13.44140625" customWidth="1"/>
    <col min="82" max="89" width="13.44140625" customWidth="1"/>
    <col min="91" max="91" width="16.33203125" customWidth="1"/>
    <col min="92" max="92" width="12.44140625" customWidth="1"/>
    <col min="94" max="96" width="23.77734375" customWidth="1"/>
    <col min="97" max="97" width="14.44140625" customWidth="1"/>
    <col min="101" max="101" width="45.44140625" bestFit="1" customWidth="1"/>
  </cols>
  <sheetData>
    <row r="1" spans="1:103" ht="28.8" x14ac:dyDescent="0.3">
      <c r="A1" s="354" t="s">
        <v>633</v>
      </c>
      <c r="B1" s="357" t="s">
        <v>402</v>
      </c>
      <c r="C1" s="64"/>
      <c r="D1" s="353" t="s">
        <v>265</v>
      </c>
      <c r="E1" s="64"/>
      <c r="F1" s="64"/>
      <c r="G1" s="64"/>
      <c r="H1" s="65"/>
      <c r="J1" s="354" t="s">
        <v>633</v>
      </c>
      <c r="K1" s="357" t="s">
        <v>403</v>
      </c>
      <c r="L1" s="64"/>
      <c r="M1" s="353" t="s">
        <v>267</v>
      </c>
      <c r="N1" s="64"/>
      <c r="O1" s="64"/>
      <c r="P1" s="64"/>
      <c r="Q1" s="65"/>
      <c r="S1" s="354" t="s">
        <v>633</v>
      </c>
      <c r="T1" s="357" t="s">
        <v>411</v>
      </c>
      <c r="U1" s="64"/>
      <c r="V1" s="359" t="s">
        <v>269</v>
      </c>
      <c r="W1" s="64"/>
      <c r="X1" s="64"/>
      <c r="Y1" s="64"/>
      <c r="Z1" s="65"/>
      <c r="AB1" s="354" t="s">
        <v>633</v>
      </c>
      <c r="AC1" s="357" t="s">
        <v>411</v>
      </c>
      <c r="AD1" s="64"/>
      <c r="AE1" s="359" t="s">
        <v>271</v>
      </c>
      <c r="AF1" s="64"/>
      <c r="AG1" s="64"/>
      <c r="AH1" s="64"/>
      <c r="AI1" s="65"/>
      <c r="AK1" s="354" t="s">
        <v>633</v>
      </c>
      <c r="AL1" s="357" t="s">
        <v>402</v>
      </c>
      <c r="AM1" s="64"/>
      <c r="AN1" s="359" t="s">
        <v>636</v>
      </c>
      <c r="AO1" s="64"/>
      <c r="AP1" s="64"/>
      <c r="AQ1" s="64"/>
      <c r="AR1" s="65"/>
      <c r="AT1" s="354" t="s">
        <v>633</v>
      </c>
      <c r="AU1" s="357" t="s">
        <v>403</v>
      </c>
      <c r="AV1" s="64"/>
      <c r="AW1" s="359" t="s">
        <v>278</v>
      </c>
      <c r="AX1" s="64"/>
      <c r="AY1" s="64"/>
      <c r="AZ1" s="64"/>
      <c r="BA1" s="65"/>
      <c r="BC1" s="354" t="s">
        <v>633</v>
      </c>
      <c r="BD1" s="357" t="s">
        <v>196</v>
      </c>
      <c r="BE1" s="64"/>
      <c r="BF1" s="359" t="s">
        <v>282</v>
      </c>
      <c r="BG1" s="64"/>
      <c r="BH1" s="64"/>
      <c r="BI1" s="64"/>
      <c r="BJ1" s="65"/>
      <c r="BL1" s="354" t="s">
        <v>633</v>
      </c>
      <c r="BM1" s="357" t="s">
        <v>196</v>
      </c>
      <c r="BN1" s="64"/>
      <c r="BO1" s="359" t="s">
        <v>286</v>
      </c>
      <c r="BP1" s="64"/>
      <c r="BQ1" s="64"/>
      <c r="BR1" s="64"/>
      <c r="BS1" s="65"/>
      <c r="BU1" s="354" t="s">
        <v>633</v>
      </c>
      <c r="BV1" s="357" t="s">
        <v>403</v>
      </c>
      <c r="BW1" s="64"/>
      <c r="BX1" s="359" t="s">
        <v>288</v>
      </c>
      <c r="BY1" s="64"/>
      <c r="BZ1" s="64"/>
      <c r="CA1" s="64"/>
      <c r="CB1" s="65"/>
      <c r="CD1" s="354" t="s">
        <v>633</v>
      </c>
      <c r="CE1" s="357" t="s">
        <v>402</v>
      </c>
      <c r="CF1" s="64"/>
      <c r="CG1" s="359" t="s">
        <v>290</v>
      </c>
      <c r="CH1" s="64"/>
      <c r="CI1" s="64"/>
      <c r="CJ1" s="64"/>
      <c r="CK1" s="65"/>
      <c r="CM1" s="368" t="s">
        <v>633</v>
      </c>
      <c r="CN1" s="397" t="str">
        <f>VLOOKUP(CR1,CW2:CY11,2,FALSE)</f>
        <v>PP</v>
      </c>
      <c r="CO1" s="369"/>
      <c r="CP1" s="394" t="s">
        <v>675</v>
      </c>
      <c r="CQ1" s="393"/>
      <c r="CR1" s="71" t="str">
        <f>'Sus Dev - Environmental'!J16</f>
        <v>480mL PP container + film or lid</v>
      </c>
      <c r="CS1" s="71"/>
      <c r="CT1" s="20"/>
      <c r="CX1" t="s">
        <v>633</v>
      </c>
      <c r="CY1" t="s">
        <v>634</v>
      </c>
    </row>
    <row r="2" spans="1:103" ht="31.8" customHeight="1" x14ac:dyDescent="0.3">
      <c r="A2" s="355" t="s">
        <v>635</v>
      </c>
      <c r="B2" s="356">
        <f>20/1000</f>
        <v>0.02</v>
      </c>
      <c r="C2" s="64"/>
      <c r="D2" s="67" t="s">
        <v>298</v>
      </c>
      <c r="E2" s="67" t="s">
        <v>299</v>
      </c>
      <c r="F2" s="67" t="s">
        <v>300</v>
      </c>
      <c r="G2" s="69" t="s">
        <v>318</v>
      </c>
      <c r="H2" s="65"/>
      <c r="J2" s="355" t="s">
        <v>635</v>
      </c>
      <c r="K2" s="356">
        <v>0.02</v>
      </c>
      <c r="L2" s="64"/>
      <c r="M2" s="67" t="s">
        <v>298</v>
      </c>
      <c r="N2" s="67" t="s">
        <v>299</v>
      </c>
      <c r="O2" s="67" t="s">
        <v>300</v>
      </c>
      <c r="P2" s="69" t="s">
        <v>318</v>
      </c>
      <c r="Q2" s="65"/>
      <c r="S2" s="355" t="s">
        <v>635</v>
      </c>
      <c r="T2" s="356">
        <v>3.3000000000000002E-2</v>
      </c>
      <c r="U2" s="64"/>
      <c r="V2" s="67" t="s">
        <v>298</v>
      </c>
      <c r="W2" s="67" t="s">
        <v>299</v>
      </c>
      <c r="X2" s="67" t="s">
        <v>300</v>
      </c>
      <c r="Y2" s="69" t="s">
        <v>318</v>
      </c>
      <c r="Z2" s="65"/>
      <c r="AB2" s="355" t="s">
        <v>635</v>
      </c>
      <c r="AC2" s="356">
        <v>2.7E-2</v>
      </c>
      <c r="AD2" s="64"/>
      <c r="AE2" s="67" t="s">
        <v>298</v>
      </c>
      <c r="AF2" s="67" t="s">
        <v>299</v>
      </c>
      <c r="AG2" s="67" t="s">
        <v>300</v>
      </c>
      <c r="AH2" s="69" t="s">
        <v>318</v>
      </c>
      <c r="AI2" s="65"/>
      <c r="AK2" s="355" t="s">
        <v>635</v>
      </c>
      <c r="AL2" s="356">
        <v>0.17</v>
      </c>
      <c r="AM2" s="64"/>
      <c r="AN2" s="67" t="s">
        <v>298</v>
      </c>
      <c r="AO2" s="67" t="s">
        <v>299</v>
      </c>
      <c r="AP2" s="67" t="s">
        <v>300</v>
      </c>
      <c r="AQ2" s="69" t="s">
        <v>318</v>
      </c>
      <c r="AR2" s="65"/>
      <c r="AT2" s="355" t="s">
        <v>635</v>
      </c>
      <c r="AU2" s="356">
        <v>0.03</v>
      </c>
      <c r="AV2" s="64"/>
      <c r="AW2" s="67" t="s">
        <v>298</v>
      </c>
      <c r="AX2" s="67" t="s">
        <v>299</v>
      </c>
      <c r="AY2" s="67" t="s">
        <v>300</v>
      </c>
      <c r="AZ2" s="69" t="s">
        <v>318</v>
      </c>
      <c r="BA2" s="65"/>
      <c r="BC2" s="355" t="s">
        <v>635</v>
      </c>
      <c r="BD2" s="356">
        <v>3.3000000000000002E-2</v>
      </c>
      <c r="BE2" s="64"/>
      <c r="BF2" s="67" t="s">
        <v>298</v>
      </c>
      <c r="BG2" s="67" t="s">
        <v>299</v>
      </c>
      <c r="BH2" s="67" t="s">
        <v>300</v>
      </c>
      <c r="BI2" s="69" t="s">
        <v>318</v>
      </c>
      <c r="BJ2" s="65"/>
      <c r="BL2" s="355" t="s">
        <v>635</v>
      </c>
      <c r="BM2" s="356">
        <v>0.01</v>
      </c>
      <c r="BN2" s="64"/>
      <c r="BO2" s="67" t="s">
        <v>298</v>
      </c>
      <c r="BP2" s="67" t="s">
        <v>299</v>
      </c>
      <c r="BQ2" s="67" t="s">
        <v>300</v>
      </c>
      <c r="BR2" s="69" t="s">
        <v>318</v>
      </c>
      <c r="BS2" s="65"/>
      <c r="BU2" s="355" t="s">
        <v>635</v>
      </c>
      <c r="BV2" s="356">
        <v>0.02</v>
      </c>
      <c r="BW2" s="64"/>
      <c r="BX2" s="67" t="s">
        <v>298</v>
      </c>
      <c r="BY2" s="67" t="s">
        <v>299</v>
      </c>
      <c r="BZ2" s="67" t="s">
        <v>300</v>
      </c>
      <c r="CA2" s="69" t="s">
        <v>318</v>
      </c>
      <c r="CB2" s="65"/>
      <c r="CD2" s="355" t="s">
        <v>635</v>
      </c>
      <c r="CE2" s="356">
        <v>1.7000000000000001E-2</v>
      </c>
      <c r="CF2" s="64"/>
      <c r="CG2" s="67" t="s">
        <v>298</v>
      </c>
      <c r="CH2" s="67" t="s">
        <v>299</v>
      </c>
      <c r="CI2" s="67" t="s">
        <v>300</v>
      </c>
      <c r="CJ2" s="69" t="s">
        <v>318</v>
      </c>
      <c r="CK2" s="65"/>
      <c r="CM2" s="371" t="s">
        <v>635</v>
      </c>
      <c r="CN2" s="397">
        <f>VLOOKUP(CR1,CW2:CY11,3,FALSE)</f>
        <v>0.02</v>
      </c>
      <c r="CO2" s="369"/>
      <c r="CP2" s="372" t="str">
        <f>CONCATENATE($CR$1,"Component 1")</f>
        <v>480mL PP container + film or lidComponent 1</v>
      </c>
      <c r="CQ2" s="372" t="str">
        <f>CONCATENATE($CR$1,"Component 2")</f>
        <v>480mL PP container + film or lidComponent 2</v>
      </c>
      <c r="CR2" s="372" t="str">
        <f>CONCATENATE($CR$1,"Component 3")</f>
        <v>480mL PP container + film or lidComponent 3</v>
      </c>
      <c r="CS2" s="372" t="str">
        <f>CONCATENATE($CR$1,"Product")</f>
        <v>480mL PP container + film or lidProduct</v>
      </c>
      <c r="CT2" s="370"/>
      <c r="CW2" t="s">
        <v>265</v>
      </c>
      <c r="CX2" s="395" t="str">
        <f>B1</f>
        <v>HDPE</v>
      </c>
      <c r="CY2">
        <f>B2</f>
        <v>0.02</v>
      </c>
    </row>
    <row r="3" spans="1:103" ht="28.8" x14ac:dyDescent="0.3">
      <c r="A3" s="70"/>
      <c r="B3" s="70"/>
      <c r="C3" s="71"/>
      <c r="D3" s="396" t="str">
        <f>CONCATENATE($D1,D2)</f>
        <v>600mL PE laminated cardboard boxComponent 1</v>
      </c>
      <c r="E3" s="396" t="str">
        <f t="shared" ref="E3:G3" si="0">CONCATENATE($D1,E2)</f>
        <v>600mL PE laminated cardboard boxComponent 2</v>
      </c>
      <c r="F3" s="396" t="str">
        <f t="shared" si="0"/>
        <v>600mL PE laminated cardboard boxComponent 3</v>
      </c>
      <c r="G3" s="396" t="str">
        <f t="shared" si="0"/>
        <v>600mL PE laminated cardboard boxProduct</v>
      </c>
      <c r="H3" s="20"/>
      <c r="J3" s="70"/>
      <c r="K3" s="70"/>
      <c r="L3" s="71"/>
      <c r="M3" s="396" t="str">
        <f>CONCATENATE($M1,M2)</f>
        <v>PP box or container with lidComponent 1</v>
      </c>
      <c r="N3" s="396" t="str">
        <f t="shared" ref="N3:P3" si="1">CONCATENATE($M1,N2)</f>
        <v>PP box or container with lidComponent 2</v>
      </c>
      <c r="O3" s="396" t="str">
        <f t="shared" si="1"/>
        <v>PP box or container with lidComponent 3</v>
      </c>
      <c r="P3" s="396" t="str">
        <f t="shared" si="1"/>
        <v>PP box or container with lidProduct</v>
      </c>
      <c r="Q3" s="20"/>
      <c r="S3" s="70"/>
      <c r="T3" s="70"/>
      <c r="U3" s="71"/>
      <c r="V3" s="396" t="str">
        <f>CONCATENATE($V1,V2)</f>
        <v>1350mL Bagasse boxComponent 1</v>
      </c>
      <c r="W3" s="396" t="str">
        <f t="shared" ref="W3:Y3" si="2">CONCATENATE($V1,W2)</f>
        <v>1350mL Bagasse boxComponent 2</v>
      </c>
      <c r="X3" s="396" t="str">
        <f t="shared" si="2"/>
        <v>1350mL Bagasse boxComponent 3</v>
      </c>
      <c r="Y3" s="396" t="str">
        <f t="shared" si="2"/>
        <v>1350mL Bagasse boxProduct</v>
      </c>
      <c r="Z3" s="20"/>
      <c r="AB3" s="70"/>
      <c r="AC3" s="70"/>
      <c r="AD3" s="71"/>
      <c r="AE3" s="396" t="str">
        <f>CONCATENATE($AE1,AE2)</f>
        <v>900mL Bagasse container + RPET lidComponent 1</v>
      </c>
      <c r="AF3" s="396" t="str">
        <f t="shared" ref="AF3:AH3" si="3">CONCATENATE($AE1,AF2)</f>
        <v>900mL Bagasse container + RPET lidComponent 2</v>
      </c>
      <c r="AG3" s="396" t="str">
        <f t="shared" si="3"/>
        <v>900mL Bagasse container + RPET lidComponent 3</v>
      </c>
      <c r="AH3" s="396" t="str">
        <f t="shared" si="3"/>
        <v>900mL Bagasse container + RPET lidProduct</v>
      </c>
      <c r="AI3" s="20"/>
      <c r="AK3" s="70"/>
      <c r="AL3" s="70"/>
      <c r="AM3" s="71"/>
      <c r="AN3" s="396" t="str">
        <f>CONCATENATE($AN1,AN2)</f>
        <v>HDPE bottle with PP capComponent 1</v>
      </c>
      <c r="AO3" s="396" t="str">
        <f t="shared" ref="AO3:AQ3" si="4">CONCATENATE($AN1,AO2)</f>
        <v>HDPE bottle with PP capComponent 2</v>
      </c>
      <c r="AP3" s="396" t="str">
        <f t="shared" si="4"/>
        <v>HDPE bottle with PP capComponent 3</v>
      </c>
      <c r="AQ3" s="396" t="str">
        <f t="shared" si="4"/>
        <v>HDPE bottle with PP capProduct</v>
      </c>
      <c r="AR3" s="20"/>
      <c r="AT3" s="70"/>
      <c r="AU3" s="70"/>
      <c r="AV3" s="71"/>
      <c r="AW3" s="396" t="str">
        <f>CONCATENATE($AW1,AW2)</f>
        <v>PP container with attached lidComponent 1</v>
      </c>
      <c r="AX3" s="396" t="str">
        <f t="shared" ref="AX3:AZ3" si="5">CONCATENATE($AW1,AX2)</f>
        <v>PP container with attached lidComponent 2</v>
      </c>
      <c r="AY3" s="396" t="str">
        <f t="shared" si="5"/>
        <v>PP container with attached lidComponent 3</v>
      </c>
      <c r="AZ3" s="396" t="str">
        <f t="shared" si="5"/>
        <v>PP container with attached lidProduct</v>
      </c>
      <c r="BA3" s="20"/>
      <c r="BC3" s="70"/>
      <c r="BD3" s="70"/>
      <c r="BE3" s="71"/>
      <c r="BF3" s="396" t="str">
        <f>CONCATENATE($BF1,BF2)</f>
        <v>SU PET container with filmComponent 1</v>
      </c>
      <c r="BG3" s="396" t="str">
        <f t="shared" ref="BG3:BI3" si="6">CONCATENATE($BF1,BG2)</f>
        <v>SU PET container with filmComponent 2</v>
      </c>
      <c r="BH3" s="396" t="str">
        <f t="shared" si="6"/>
        <v>SU PET container with filmComponent 3</v>
      </c>
      <c r="BI3" s="396" t="str">
        <f t="shared" si="6"/>
        <v>SU PET container with filmProduct</v>
      </c>
      <c r="BJ3" s="20"/>
      <c r="BL3" s="70"/>
      <c r="BM3" s="70"/>
      <c r="BN3" s="71"/>
      <c r="BO3" s="396" t="str">
        <f>CONCATENATE($BO1,BO2)</f>
        <v>500mL PET boxComponent 1</v>
      </c>
      <c r="BP3" s="396" t="str">
        <f t="shared" ref="BP3:BR3" si="7">CONCATENATE($BO1,BP2)</f>
        <v>500mL PET boxComponent 2</v>
      </c>
      <c r="BQ3" s="396" t="str">
        <f t="shared" si="7"/>
        <v>500mL PET boxComponent 3</v>
      </c>
      <c r="BR3" s="396" t="str">
        <f t="shared" si="7"/>
        <v>500mL PET boxProduct</v>
      </c>
      <c r="BS3" s="20"/>
      <c r="BU3" s="70"/>
      <c r="BV3" s="70"/>
      <c r="BW3" s="71"/>
      <c r="BX3" s="396" t="str">
        <f>CONCATENATE($BX1,BX2)</f>
        <v>480mL PP container + film or lidComponent 1</v>
      </c>
      <c r="BY3" s="396" t="str">
        <f t="shared" ref="BY3:CA3" si="8">CONCATENATE($BX1,BY2)</f>
        <v>480mL PP container + film or lidComponent 2</v>
      </c>
      <c r="BZ3" s="396" t="str">
        <f t="shared" si="8"/>
        <v>480mL PP container + film or lidComponent 3</v>
      </c>
      <c r="CA3" s="396" t="str">
        <f t="shared" si="8"/>
        <v>480mL PP container + film or lidProduct</v>
      </c>
      <c r="CB3" s="20"/>
      <c r="CD3" s="70"/>
      <c r="CE3" s="70"/>
      <c r="CF3" s="71"/>
      <c r="CG3" s="396" t="str">
        <f>CONCATENATE($CG1,CG2)</f>
        <v>500mL PE laminated cardboard container+ filmComponent 1</v>
      </c>
      <c r="CH3" s="396" t="str">
        <f t="shared" ref="CH3:CJ3" si="9">CONCATENATE($CG1,CH2)</f>
        <v>500mL PE laminated cardboard container+ filmComponent 2</v>
      </c>
      <c r="CI3" s="396" t="str">
        <f t="shared" si="9"/>
        <v>500mL PE laminated cardboard container+ filmComponent 3</v>
      </c>
      <c r="CJ3" s="396" t="str">
        <f t="shared" si="9"/>
        <v>500mL PE laminated cardboard container+ filmProduct</v>
      </c>
      <c r="CK3" s="20"/>
      <c r="CM3" s="373"/>
      <c r="CN3" s="373" t="s">
        <v>679</v>
      </c>
      <c r="CO3" s="369"/>
      <c r="CP3" s="374"/>
      <c r="CQ3" s="374"/>
      <c r="CR3" s="374"/>
      <c r="CS3" s="375" t="s">
        <v>48</v>
      </c>
      <c r="CT3" s="370"/>
      <c r="CW3" t="s">
        <v>267</v>
      </c>
      <c r="CX3" s="395" t="str">
        <f>K1</f>
        <v>PP</v>
      </c>
      <c r="CY3">
        <f>K2</f>
        <v>0.02</v>
      </c>
    </row>
    <row r="4" spans="1:103" ht="18" x14ac:dyDescent="0.3">
      <c r="A4" s="74"/>
      <c r="B4" s="75" t="s">
        <v>327</v>
      </c>
      <c r="C4" s="76" t="s">
        <v>336</v>
      </c>
      <c r="D4" s="77"/>
      <c r="E4" s="77"/>
      <c r="F4" s="77"/>
      <c r="G4" s="77"/>
      <c r="H4" s="65"/>
      <c r="J4" s="74"/>
      <c r="K4" s="75" t="s">
        <v>327</v>
      </c>
      <c r="L4" s="76" t="s">
        <v>336</v>
      </c>
      <c r="M4" s="77"/>
      <c r="N4" s="77"/>
      <c r="O4" s="77"/>
      <c r="P4" s="77"/>
      <c r="Q4" s="65"/>
      <c r="S4" s="74"/>
      <c r="T4" s="75" t="s">
        <v>327</v>
      </c>
      <c r="U4" s="76" t="s">
        <v>336</v>
      </c>
      <c r="V4" s="77"/>
      <c r="W4" s="77"/>
      <c r="X4" s="77"/>
      <c r="Y4" s="77"/>
      <c r="Z4" s="65"/>
      <c r="AB4" s="74"/>
      <c r="AC4" s="75" t="s">
        <v>327</v>
      </c>
      <c r="AD4" s="76" t="s">
        <v>336</v>
      </c>
      <c r="AE4" s="77"/>
      <c r="AF4" s="77"/>
      <c r="AG4" s="77"/>
      <c r="AH4" s="77"/>
      <c r="AI4" s="65"/>
      <c r="AK4" s="74"/>
      <c r="AL4" s="75" t="s">
        <v>327</v>
      </c>
      <c r="AM4" s="76" t="s">
        <v>336</v>
      </c>
      <c r="AN4" s="77"/>
      <c r="AO4" s="77"/>
      <c r="AP4" s="77"/>
      <c r="AQ4" s="77"/>
      <c r="AR4" s="65"/>
      <c r="AT4" s="74"/>
      <c r="AU4" s="75" t="s">
        <v>327</v>
      </c>
      <c r="AV4" s="76" t="s">
        <v>336</v>
      </c>
      <c r="AW4" s="77"/>
      <c r="AX4" s="77"/>
      <c r="AY4" s="77"/>
      <c r="AZ4" s="77"/>
      <c r="BA4" s="65"/>
      <c r="BC4" s="74"/>
      <c r="BD4" s="75" t="s">
        <v>327</v>
      </c>
      <c r="BE4" s="76" t="s">
        <v>336</v>
      </c>
      <c r="BF4" s="77"/>
      <c r="BG4" s="77"/>
      <c r="BH4" s="77"/>
      <c r="BI4" s="77"/>
      <c r="BJ4" s="65"/>
      <c r="BL4" s="74"/>
      <c r="BM4" s="75" t="s">
        <v>327</v>
      </c>
      <c r="BN4" s="76" t="s">
        <v>336</v>
      </c>
      <c r="BO4" s="77"/>
      <c r="BP4" s="77"/>
      <c r="BQ4" s="77"/>
      <c r="BR4" s="77"/>
      <c r="BS4" s="65"/>
      <c r="BU4" s="74"/>
      <c r="BV4" s="75" t="s">
        <v>327</v>
      </c>
      <c r="BW4" s="76" t="s">
        <v>336</v>
      </c>
      <c r="BX4" s="77"/>
      <c r="BY4" s="77"/>
      <c r="BZ4" s="77"/>
      <c r="CA4" s="77"/>
      <c r="CB4" s="65"/>
      <c r="CD4" s="74"/>
      <c r="CE4" s="75" t="s">
        <v>327</v>
      </c>
      <c r="CF4" s="76" t="s">
        <v>336</v>
      </c>
      <c r="CG4" s="77"/>
      <c r="CH4" s="77"/>
      <c r="CI4" s="77"/>
      <c r="CJ4" s="77"/>
      <c r="CK4" s="65"/>
      <c r="CM4" s="376"/>
      <c r="CN4" s="377" t="s">
        <v>327</v>
      </c>
      <c r="CO4" s="378" t="s">
        <v>336</v>
      </c>
      <c r="CP4" s="379">
        <f>IF($CS$3="yes",(SUM(CP5,CP6,CP13)/1),(SUM(CP5:CP11)/1))</f>
        <v>0.14347068399999999</v>
      </c>
      <c r="CQ4" s="379">
        <f>IF($CS$3="yes",(SUM(CQ5,CQ6,CQ13)/1),(SUM(CQ5:CQ11)/1))</f>
        <v>1.1662202E-2</v>
      </c>
      <c r="CR4" s="379">
        <f>IF($CS$3="yes",(SUM(CR5,CR6,CR13)/1),(SUM(CR5:CR11)/1))</f>
        <v>0</v>
      </c>
      <c r="CS4" s="379">
        <f>IF($CS$3="yes",(SUM(CS5,CS6,CS13)/1),(SUM(CS5:CS11)/1))</f>
        <v>0.15513288599999997</v>
      </c>
      <c r="CT4" s="370"/>
      <c r="CW4" t="s">
        <v>269</v>
      </c>
      <c r="CX4" s="395" t="str">
        <f>T1</f>
        <v>cellulose</v>
      </c>
      <c r="CY4">
        <f>T2</f>
        <v>3.3000000000000002E-2</v>
      </c>
    </row>
    <row r="5" spans="1:103" ht="18" x14ac:dyDescent="0.35">
      <c r="A5" s="74"/>
      <c r="B5" s="79"/>
      <c r="C5" s="80" t="s">
        <v>13</v>
      </c>
      <c r="D5" s="81">
        <v>2.5534292299999997E-2</v>
      </c>
      <c r="E5" s="81"/>
      <c r="F5" s="81"/>
      <c r="G5" s="81">
        <f>D5+E5+F5</f>
        <v>2.5534292299999997E-2</v>
      </c>
      <c r="H5" s="65"/>
      <c r="J5" s="74"/>
      <c r="K5" s="79"/>
      <c r="L5" s="80" t="s">
        <v>13</v>
      </c>
      <c r="M5" s="81">
        <v>5.2711340000000002E-2</v>
      </c>
      <c r="N5" s="81">
        <v>1.7570446999999999E-2</v>
      </c>
      <c r="O5" s="81"/>
      <c r="P5" s="81">
        <f>M5+N5+O5</f>
        <v>7.0281786999999998E-2</v>
      </c>
      <c r="Q5" s="65"/>
      <c r="S5" s="74"/>
      <c r="T5" s="79"/>
      <c r="U5" s="80" t="s">
        <v>13</v>
      </c>
      <c r="V5" s="81">
        <v>1.9755767000000001E-4</v>
      </c>
      <c r="W5" s="81"/>
      <c r="X5" s="81"/>
      <c r="Y5" s="81">
        <f>V5+W5+X5</f>
        <v>1.9755767000000001E-4</v>
      </c>
      <c r="Z5" s="65"/>
      <c r="AB5" s="74"/>
      <c r="AC5" s="79"/>
      <c r="AD5" s="80" t="s">
        <v>13</v>
      </c>
      <c r="AE5" s="81">
        <v>1.3170512000000001E-4</v>
      </c>
      <c r="AF5" s="81">
        <v>3.6734395999999999E-3</v>
      </c>
      <c r="AG5" s="81"/>
      <c r="AH5" s="81">
        <f>AE5+AF5+AG5</f>
        <v>3.80514472E-3</v>
      </c>
      <c r="AI5" s="65"/>
      <c r="AK5" s="74"/>
      <c r="AL5" s="79"/>
      <c r="AM5" s="80" t="s">
        <v>13</v>
      </c>
      <c r="AN5" s="81">
        <v>0.49625238999999999</v>
      </c>
      <c r="AO5" s="81">
        <v>3.5140892999999999E-2</v>
      </c>
      <c r="AP5" s="81"/>
      <c r="AQ5" s="81">
        <f>AN5+AO5+AP5</f>
        <v>0.53139328299999999</v>
      </c>
      <c r="AR5" s="65"/>
      <c r="AT5" s="74"/>
      <c r="AU5" s="79"/>
      <c r="AV5" s="80" t="s">
        <v>13</v>
      </c>
      <c r="AW5" s="81">
        <v>0.10542268</v>
      </c>
      <c r="AX5" s="81"/>
      <c r="AY5" s="81"/>
      <c r="AZ5" s="81">
        <f>AW5+AX5+AY5</f>
        <v>0.10542268</v>
      </c>
      <c r="BA5" s="65"/>
      <c r="BC5" s="74"/>
      <c r="BD5" s="79"/>
      <c r="BE5" s="80" t="s">
        <v>13</v>
      </c>
      <c r="BF5" s="81">
        <v>2.2040638000000001E-2</v>
      </c>
      <c r="BG5" s="81">
        <v>1.1662202E-2</v>
      </c>
      <c r="BH5" s="81"/>
      <c r="BI5" s="81">
        <f>BF5+BG5+BH5</f>
        <v>3.3702839999999998E-2</v>
      </c>
      <c r="BJ5" s="65"/>
      <c r="BL5" s="74"/>
      <c r="BM5" s="79"/>
      <c r="BN5" s="80" t="s">
        <v>13</v>
      </c>
      <c r="BO5" s="81">
        <v>7.3468793000000003E-3</v>
      </c>
      <c r="BP5" s="81"/>
      <c r="BQ5" s="81"/>
      <c r="BR5" s="81">
        <f>BO5+BP5+BQ5</f>
        <v>7.3468793000000003E-3</v>
      </c>
      <c r="BS5" s="65"/>
      <c r="BU5" s="74"/>
      <c r="BV5" s="79"/>
      <c r="BW5" s="80" t="s">
        <v>13</v>
      </c>
      <c r="BX5" s="81">
        <v>7.0281785999999999E-2</v>
      </c>
      <c r="BY5" s="81">
        <f>BG5</f>
        <v>1.1662202E-2</v>
      </c>
      <c r="BZ5" s="81"/>
      <c r="CA5" s="81">
        <f>BX5+BY5+BZ5</f>
        <v>8.1943987999999995E-2</v>
      </c>
      <c r="CB5" s="65"/>
      <c r="CD5" s="74"/>
      <c r="CE5" s="79"/>
      <c r="CF5" s="80" t="s">
        <v>13</v>
      </c>
      <c r="CG5" s="81">
        <v>2.10194171E-2</v>
      </c>
      <c r="CH5" s="81">
        <v>9.7185016000000003E-3</v>
      </c>
      <c r="CI5" s="81"/>
      <c r="CJ5" s="81">
        <f>CG5+CH5+CI5</f>
        <v>3.0737918699999998E-2</v>
      </c>
      <c r="CK5" s="65"/>
      <c r="CM5" s="376"/>
      <c r="CN5" s="380"/>
      <c r="CO5" s="381" t="s">
        <v>13</v>
      </c>
      <c r="CP5" s="382">
        <f>HLOOKUP($CP$2,D$3:CK$106,3,FALSE)</f>
        <v>7.0281785999999999E-2</v>
      </c>
      <c r="CQ5" s="382">
        <f>HLOOKUP($CQ$2,D$3:CK$106,3,FALSE)</f>
        <v>1.1662202E-2</v>
      </c>
      <c r="CR5" s="382">
        <f>HLOOKUP($CR$2,D$3:CK$106,3,FALSE)</f>
        <v>0</v>
      </c>
      <c r="CS5" s="382">
        <f>HLOOKUP($CS$2,D$3:CK$106,3,FALSE)</f>
        <v>8.1943987999999995E-2</v>
      </c>
      <c r="CT5" s="370"/>
      <c r="CW5" t="s">
        <v>271</v>
      </c>
      <c r="CX5" s="395" t="str">
        <f>AC1</f>
        <v>cellulose</v>
      </c>
      <c r="CY5">
        <f>AC2</f>
        <v>2.7E-2</v>
      </c>
    </row>
    <row r="6" spans="1:103" ht="18" x14ac:dyDescent="0.35">
      <c r="A6" s="74"/>
      <c r="B6" s="79"/>
      <c r="C6" s="80" t="s">
        <v>306</v>
      </c>
      <c r="D6" s="81">
        <v>9.9451622999999992E-3</v>
      </c>
      <c r="E6" s="81"/>
      <c r="F6" s="81"/>
      <c r="G6" s="81">
        <f t="shared" ref="G6:G13" si="10">D6+E6+F6</f>
        <v>9.9451622999999992E-3</v>
      </c>
      <c r="H6" s="65"/>
      <c r="J6" s="74"/>
      <c r="K6" s="79"/>
      <c r="L6" s="80" t="s">
        <v>306</v>
      </c>
      <c r="M6" s="81">
        <v>1.0454835E-3</v>
      </c>
      <c r="N6" s="81">
        <v>3.4604031E-4</v>
      </c>
      <c r="O6" s="81"/>
      <c r="P6" s="81">
        <f t="shared" ref="P6:P13" si="11">M6+N6+O6</f>
        <v>1.39152381E-3</v>
      </c>
      <c r="Q6" s="65"/>
      <c r="S6" s="74"/>
      <c r="T6" s="79"/>
      <c r="U6" s="80" t="s">
        <v>306</v>
      </c>
      <c r="V6" s="81">
        <v>2.2971187000000001E-3</v>
      </c>
      <c r="W6" s="81"/>
      <c r="X6" s="81"/>
      <c r="Y6" s="81">
        <f t="shared" ref="Y6" si="12">V6+W6+X6</f>
        <v>2.2971187000000001E-3</v>
      </c>
      <c r="Z6" s="65"/>
      <c r="AB6" s="74"/>
      <c r="AC6" s="79"/>
      <c r="AD6" s="80" t="s">
        <v>306</v>
      </c>
      <c r="AE6" s="81">
        <v>1.5461375999999999E-3</v>
      </c>
      <c r="AF6" s="81">
        <v>3.4604031E-4</v>
      </c>
      <c r="AG6" s="81"/>
      <c r="AH6" s="81">
        <f t="shared" ref="AH6" si="13">AE6+AF6+AG6</f>
        <v>1.8921779099999999E-3</v>
      </c>
      <c r="AI6" s="65"/>
      <c r="AK6" s="74"/>
      <c r="AL6" s="79"/>
      <c r="AM6" s="80" t="s">
        <v>306</v>
      </c>
      <c r="AN6" s="81">
        <v>0.12837129999999999</v>
      </c>
      <c r="AO6" s="81">
        <v>7.3625597999999999E-4</v>
      </c>
      <c r="AP6" s="81"/>
      <c r="AQ6" s="81">
        <f t="shared" ref="AQ6" si="14">AN6+AO6+AP6</f>
        <v>0.12910755597999998</v>
      </c>
      <c r="AR6" s="65"/>
      <c r="AT6" s="74"/>
      <c r="AU6" s="79"/>
      <c r="AV6" s="80" t="s">
        <v>306</v>
      </c>
      <c r="AW6" s="81">
        <v>2.2087678999999998E-3</v>
      </c>
      <c r="AX6" s="81"/>
      <c r="AY6" s="81"/>
      <c r="AZ6" s="81">
        <f t="shared" ref="AZ6" si="15">AW6+AX6+AY6</f>
        <v>2.2087678999999998E-3</v>
      </c>
      <c r="BA6" s="65"/>
      <c r="BC6" s="74"/>
      <c r="BD6" s="79"/>
      <c r="BE6" s="80" t="s">
        <v>306</v>
      </c>
      <c r="BF6" s="81">
        <v>2.3192063E-3</v>
      </c>
      <c r="BG6" s="81"/>
      <c r="BH6" s="81"/>
      <c r="BI6" s="81">
        <f t="shared" ref="BI6" si="16">BF6+BG6+BH6</f>
        <v>2.3192063E-3</v>
      </c>
      <c r="BJ6" s="65"/>
      <c r="BL6" s="74"/>
      <c r="BM6" s="79"/>
      <c r="BN6" s="80" t="s">
        <v>306</v>
      </c>
      <c r="BO6" s="81">
        <v>7.3625597999999999E-4</v>
      </c>
      <c r="BP6" s="81"/>
      <c r="BQ6" s="81"/>
      <c r="BR6" s="81">
        <f t="shared" ref="BR6" si="17">BO6+BP6+BQ6</f>
        <v>7.3625597999999999E-4</v>
      </c>
      <c r="BS6" s="65"/>
      <c r="BU6" s="74"/>
      <c r="BV6" s="79"/>
      <c r="BW6" s="80" t="s">
        <v>306</v>
      </c>
      <c r="BX6" s="81">
        <v>1.472512E-3</v>
      </c>
      <c r="BY6" s="81"/>
      <c r="BZ6" s="81"/>
      <c r="CA6" s="81">
        <f t="shared" ref="CA6" si="18">BX6+BY6+BZ6</f>
        <v>1.472512E-3</v>
      </c>
      <c r="CB6" s="65"/>
      <c r="CD6" s="74"/>
      <c r="CE6" s="79"/>
      <c r="CF6" s="80" t="s">
        <v>306</v>
      </c>
      <c r="CG6" s="81">
        <v>8.2676650000000004E-3</v>
      </c>
      <c r="CH6" s="81"/>
      <c r="CI6" s="81"/>
      <c r="CJ6" s="81">
        <f t="shared" ref="CJ6" si="19">CG6+CH6+CI6</f>
        <v>8.2676650000000004E-3</v>
      </c>
      <c r="CK6" s="65"/>
      <c r="CM6" s="376"/>
      <c r="CN6" s="380"/>
      <c r="CO6" s="381" t="s">
        <v>306</v>
      </c>
      <c r="CP6" s="382">
        <f>HLOOKUP($CP$2,D$3:CK$106,4,FALSE)</f>
        <v>1.472512E-3</v>
      </c>
      <c r="CQ6" s="382">
        <f>HLOOKUP($CQ$2,D$3:CK$106,4,FALSE)</f>
        <v>0</v>
      </c>
      <c r="CR6" s="382">
        <f>HLOOKUP($CR$2,D$3:CK$106,4,FALSE)</f>
        <v>0</v>
      </c>
      <c r="CS6" s="382">
        <f>HLOOKUP($CS$2,D$3:CK$106,4,FALSE)</f>
        <v>1.472512E-3</v>
      </c>
      <c r="CT6" s="370"/>
      <c r="CW6" t="s">
        <v>676</v>
      </c>
      <c r="CX6" s="395" t="str">
        <f>AL1</f>
        <v>HDPE</v>
      </c>
      <c r="CY6">
        <f>AL2</f>
        <v>0.17</v>
      </c>
    </row>
    <row r="7" spans="1:103" ht="18" x14ac:dyDescent="0.35">
      <c r="A7" s="74"/>
      <c r="B7" s="79"/>
      <c r="C7" s="80" t="s">
        <v>312</v>
      </c>
      <c r="D7" s="81" t="s">
        <v>19</v>
      </c>
      <c r="E7" s="81" t="s">
        <v>19</v>
      </c>
      <c r="F7" s="81" t="s">
        <v>19</v>
      </c>
      <c r="G7" s="81" t="s">
        <v>19</v>
      </c>
      <c r="H7" s="65"/>
      <c r="J7" s="74"/>
      <c r="K7" s="79"/>
      <c r="L7" s="80" t="s">
        <v>312</v>
      </c>
      <c r="M7" s="81" t="s">
        <v>19</v>
      </c>
      <c r="N7" s="81" t="s">
        <v>19</v>
      </c>
      <c r="O7" s="81" t="s">
        <v>19</v>
      </c>
      <c r="P7" s="81" t="s">
        <v>19</v>
      </c>
      <c r="Q7" s="65"/>
      <c r="S7" s="74"/>
      <c r="T7" s="79"/>
      <c r="U7" s="80" t="s">
        <v>312</v>
      </c>
      <c r="V7" s="81" t="s">
        <v>19</v>
      </c>
      <c r="W7" s="81" t="s">
        <v>19</v>
      </c>
      <c r="X7" s="81" t="s">
        <v>19</v>
      </c>
      <c r="Y7" s="81" t="s">
        <v>19</v>
      </c>
      <c r="Z7" s="65"/>
      <c r="AB7" s="74"/>
      <c r="AC7" s="79"/>
      <c r="AD7" s="80" t="s">
        <v>312</v>
      </c>
      <c r="AE7" s="81" t="s">
        <v>19</v>
      </c>
      <c r="AF7" s="81" t="s">
        <v>19</v>
      </c>
      <c r="AG7" s="81" t="s">
        <v>19</v>
      </c>
      <c r="AH7" s="81" t="s">
        <v>19</v>
      </c>
      <c r="AI7" s="65"/>
      <c r="AK7" s="74"/>
      <c r="AL7" s="79"/>
      <c r="AM7" s="80" t="s">
        <v>312</v>
      </c>
      <c r="AN7" s="81" t="s">
        <v>19</v>
      </c>
      <c r="AO7" s="81" t="s">
        <v>19</v>
      </c>
      <c r="AP7" s="81" t="s">
        <v>19</v>
      </c>
      <c r="AQ7" s="81" t="s">
        <v>19</v>
      </c>
      <c r="AR7" s="65"/>
      <c r="AT7" s="74"/>
      <c r="AU7" s="79"/>
      <c r="AV7" s="80" t="s">
        <v>312</v>
      </c>
      <c r="AW7" s="81" t="s">
        <v>19</v>
      </c>
      <c r="AX7" s="81" t="s">
        <v>19</v>
      </c>
      <c r="AY7" s="81" t="s">
        <v>19</v>
      </c>
      <c r="AZ7" s="81" t="s">
        <v>19</v>
      </c>
      <c r="BA7" s="65"/>
      <c r="BC7" s="74"/>
      <c r="BD7" s="79"/>
      <c r="BE7" s="80" t="s">
        <v>312</v>
      </c>
      <c r="BF7" s="81" t="s">
        <v>19</v>
      </c>
      <c r="BG7" s="81" t="s">
        <v>19</v>
      </c>
      <c r="BH7" s="81" t="s">
        <v>19</v>
      </c>
      <c r="BI7" s="81" t="s">
        <v>19</v>
      </c>
      <c r="BJ7" s="65"/>
      <c r="BL7" s="74"/>
      <c r="BM7" s="79"/>
      <c r="BN7" s="80" t="s">
        <v>312</v>
      </c>
      <c r="BO7" s="81" t="s">
        <v>19</v>
      </c>
      <c r="BP7" s="81" t="s">
        <v>19</v>
      </c>
      <c r="BQ7" s="81" t="s">
        <v>19</v>
      </c>
      <c r="BR7" s="81" t="s">
        <v>19</v>
      </c>
      <c r="BS7" s="65"/>
      <c r="BU7" s="74"/>
      <c r="BV7" s="79"/>
      <c r="BW7" s="80" t="s">
        <v>312</v>
      </c>
      <c r="BX7" s="81" t="s">
        <v>19</v>
      </c>
      <c r="BY7" s="81" t="s">
        <v>19</v>
      </c>
      <c r="BZ7" s="81" t="s">
        <v>19</v>
      </c>
      <c r="CA7" s="81" t="s">
        <v>19</v>
      </c>
      <c r="CB7" s="65"/>
      <c r="CD7" s="74"/>
      <c r="CE7" s="79"/>
      <c r="CF7" s="80" t="s">
        <v>312</v>
      </c>
      <c r="CG7" s="81" t="s">
        <v>19</v>
      </c>
      <c r="CH7" s="81" t="s">
        <v>19</v>
      </c>
      <c r="CI7" s="81" t="s">
        <v>19</v>
      </c>
      <c r="CJ7" s="81" t="s">
        <v>19</v>
      </c>
      <c r="CK7" s="65"/>
      <c r="CM7" s="376"/>
      <c r="CN7" s="380"/>
      <c r="CO7" s="381" t="s">
        <v>312</v>
      </c>
      <c r="CP7" s="382" t="str">
        <f>HLOOKUP($CP$2,D$3:CK$106,5,FALSE)</f>
        <v>x</v>
      </c>
      <c r="CQ7" s="382" t="str">
        <f>HLOOKUP($CQ$2,D$3:CK$106,5,FALSE)</f>
        <v>x</v>
      </c>
      <c r="CR7" s="382" t="str">
        <f>HLOOKUP($CR$2,D$3:CK$106,5,FALSE)</f>
        <v>x</v>
      </c>
      <c r="CS7" s="382" t="str">
        <f>HLOOKUP($CS$2,D$3:CK$106,5,FALSE)</f>
        <v>x</v>
      </c>
      <c r="CT7" s="370"/>
      <c r="CW7" t="s">
        <v>278</v>
      </c>
      <c r="CX7" s="395" t="str">
        <f>AU1</f>
        <v>PP</v>
      </c>
      <c r="CY7">
        <f>AU2</f>
        <v>0.03</v>
      </c>
    </row>
    <row r="8" spans="1:103" ht="18" x14ac:dyDescent="0.35">
      <c r="A8" s="74"/>
      <c r="B8" s="79"/>
      <c r="C8" s="80" t="s">
        <v>314</v>
      </c>
      <c r="D8" s="81" t="s">
        <v>19</v>
      </c>
      <c r="E8" s="81" t="s">
        <v>19</v>
      </c>
      <c r="F8" s="81" t="s">
        <v>19</v>
      </c>
      <c r="G8" s="81" t="s">
        <v>19</v>
      </c>
      <c r="H8" s="65"/>
      <c r="J8" s="74"/>
      <c r="K8" s="79"/>
      <c r="L8" s="80" t="s">
        <v>314</v>
      </c>
      <c r="M8" s="81" t="s">
        <v>19</v>
      </c>
      <c r="N8" s="81" t="s">
        <v>19</v>
      </c>
      <c r="O8" s="81" t="s">
        <v>19</v>
      </c>
      <c r="P8" s="81" t="s">
        <v>19</v>
      </c>
      <c r="Q8" s="65"/>
      <c r="S8" s="74"/>
      <c r="T8" s="79"/>
      <c r="U8" s="80" t="s">
        <v>314</v>
      </c>
      <c r="V8" s="81" t="s">
        <v>19</v>
      </c>
      <c r="W8" s="81" t="s">
        <v>19</v>
      </c>
      <c r="X8" s="81" t="s">
        <v>19</v>
      </c>
      <c r="Y8" s="81" t="s">
        <v>19</v>
      </c>
      <c r="Z8" s="65"/>
      <c r="AB8" s="74"/>
      <c r="AC8" s="79"/>
      <c r="AD8" s="80" t="s">
        <v>314</v>
      </c>
      <c r="AE8" s="81" t="s">
        <v>19</v>
      </c>
      <c r="AF8" s="81" t="s">
        <v>19</v>
      </c>
      <c r="AG8" s="81" t="s">
        <v>19</v>
      </c>
      <c r="AH8" s="81" t="s">
        <v>19</v>
      </c>
      <c r="AI8" s="65"/>
      <c r="AK8" s="74"/>
      <c r="AL8" s="79"/>
      <c r="AM8" s="80" t="s">
        <v>314</v>
      </c>
      <c r="AN8" s="81" t="s">
        <v>19</v>
      </c>
      <c r="AO8" s="81" t="s">
        <v>19</v>
      </c>
      <c r="AP8" s="81" t="s">
        <v>19</v>
      </c>
      <c r="AQ8" s="81" t="s">
        <v>19</v>
      </c>
      <c r="AR8" s="65"/>
      <c r="AT8" s="74"/>
      <c r="AU8" s="79"/>
      <c r="AV8" s="80" t="s">
        <v>314</v>
      </c>
      <c r="AW8" s="81" t="s">
        <v>19</v>
      </c>
      <c r="AX8" s="81" t="s">
        <v>19</v>
      </c>
      <c r="AY8" s="81" t="s">
        <v>19</v>
      </c>
      <c r="AZ8" s="81" t="s">
        <v>19</v>
      </c>
      <c r="BA8" s="65"/>
      <c r="BC8" s="74"/>
      <c r="BD8" s="79"/>
      <c r="BE8" s="80" t="s">
        <v>314</v>
      </c>
      <c r="BF8" s="81" t="s">
        <v>19</v>
      </c>
      <c r="BG8" s="81" t="s">
        <v>19</v>
      </c>
      <c r="BH8" s="81" t="s">
        <v>19</v>
      </c>
      <c r="BI8" s="81" t="s">
        <v>19</v>
      </c>
      <c r="BJ8" s="65"/>
      <c r="BL8" s="74"/>
      <c r="BM8" s="79"/>
      <c r="BN8" s="80" t="s">
        <v>314</v>
      </c>
      <c r="BO8" s="81" t="s">
        <v>19</v>
      </c>
      <c r="BP8" s="81" t="s">
        <v>19</v>
      </c>
      <c r="BQ8" s="81" t="s">
        <v>19</v>
      </c>
      <c r="BR8" s="81" t="s">
        <v>19</v>
      </c>
      <c r="BS8" s="65"/>
      <c r="BU8" s="74"/>
      <c r="BV8" s="79"/>
      <c r="BW8" s="80" t="s">
        <v>314</v>
      </c>
      <c r="BX8" s="81" t="s">
        <v>19</v>
      </c>
      <c r="BY8" s="81" t="s">
        <v>19</v>
      </c>
      <c r="BZ8" s="81" t="s">
        <v>19</v>
      </c>
      <c r="CA8" s="81" t="s">
        <v>19</v>
      </c>
      <c r="CB8" s="65"/>
      <c r="CD8" s="74"/>
      <c r="CE8" s="79"/>
      <c r="CF8" s="80" t="s">
        <v>314</v>
      </c>
      <c r="CG8" s="81" t="s">
        <v>19</v>
      </c>
      <c r="CH8" s="81" t="s">
        <v>19</v>
      </c>
      <c r="CI8" s="81" t="s">
        <v>19</v>
      </c>
      <c r="CJ8" s="81" t="s">
        <v>19</v>
      </c>
      <c r="CK8" s="65"/>
      <c r="CM8" s="376"/>
      <c r="CN8" s="380"/>
      <c r="CO8" s="381" t="s">
        <v>314</v>
      </c>
      <c r="CP8" s="382" t="str">
        <f>HLOOKUP($CP$2,D$3:CK$106,6,FALSE)</f>
        <v>x</v>
      </c>
      <c r="CQ8" s="382" t="str">
        <f>HLOOKUP($CQ$2,D$3:CK$106,6,FALSE)</f>
        <v>x</v>
      </c>
      <c r="CR8" s="382" t="str">
        <f>HLOOKUP($CR$2,D$3:CK$106,6,FALSE)</f>
        <v>x</v>
      </c>
      <c r="CS8" s="382" t="str">
        <f>HLOOKUP($CS$2,D$3:CK$106,6,FALSE)</f>
        <v>x</v>
      </c>
      <c r="CT8" s="370"/>
      <c r="CW8" t="s">
        <v>282</v>
      </c>
      <c r="CX8" s="395" t="str">
        <f>BD1</f>
        <v>PET</v>
      </c>
      <c r="CY8">
        <f>BD2</f>
        <v>3.3000000000000002E-2</v>
      </c>
    </row>
    <row r="9" spans="1:103" ht="18" x14ac:dyDescent="0.35">
      <c r="A9" s="65"/>
      <c r="B9" s="79"/>
      <c r="C9" s="80" t="s">
        <v>320</v>
      </c>
      <c r="D9" s="81" t="e">
        <f>HLOOKUP($B$1,DGbaseF2V!$A$76:$S$92,2,0)*$B$2</f>
        <v>#N/A</v>
      </c>
      <c r="E9" s="81"/>
      <c r="F9" s="81"/>
      <c r="G9" s="81" t="e">
        <f t="shared" si="10"/>
        <v>#N/A</v>
      </c>
      <c r="H9" s="65"/>
      <c r="J9" s="65"/>
      <c r="K9" s="79"/>
      <c r="L9" s="80" t="s">
        <v>320</v>
      </c>
      <c r="M9" s="81" t="e">
        <f>HLOOKUP(K$1,DGbaseF2V!$A$76:$S$92,2,0)*K$2</f>
        <v>#N/A</v>
      </c>
      <c r="N9" s="81"/>
      <c r="O9" s="81"/>
      <c r="P9" s="81" t="e">
        <f>M9+N9+O9</f>
        <v>#N/A</v>
      </c>
      <c r="Q9" s="65"/>
      <c r="S9" s="65"/>
      <c r="T9" s="79"/>
      <c r="U9" s="80" t="s">
        <v>320</v>
      </c>
      <c r="V9" s="81" t="e">
        <f>HLOOKUP(T$1,DGbaseF2V!$A$76:$S$92,2,0)*T$2</f>
        <v>#N/A</v>
      </c>
      <c r="W9" s="81"/>
      <c r="X9" s="81"/>
      <c r="Y9" s="81" t="e">
        <f t="shared" ref="Y9:Y11" si="20">V9+W9+X9</f>
        <v>#N/A</v>
      </c>
      <c r="Z9" s="65"/>
      <c r="AB9" s="65"/>
      <c r="AC9" s="79"/>
      <c r="AD9" s="80" t="s">
        <v>320</v>
      </c>
      <c r="AE9" s="81" t="e">
        <f>HLOOKUP(AC$1,DGbaseF2V!$A$76:$S$92,2,0)*AC$2</f>
        <v>#N/A</v>
      </c>
      <c r="AF9" s="81"/>
      <c r="AG9" s="81"/>
      <c r="AH9" s="81" t="e">
        <f t="shared" ref="AH9:AH10" si="21">AE9+AF9+AG9</f>
        <v>#N/A</v>
      </c>
      <c r="AI9" s="65"/>
      <c r="AK9" s="65"/>
      <c r="AL9" s="79"/>
      <c r="AM9" s="80" t="s">
        <v>320</v>
      </c>
      <c r="AN9" s="81" t="e">
        <f>HLOOKUP(AL$1,DGbaseF2V!$A$76:$S$92,2,0)*AL$2</f>
        <v>#N/A</v>
      </c>
      <c r="AO9" s="81"/>
      <c r="AP9" s="81"/>
      <c r="AQ9" s="81" t="e">
        <f t="shared" ref="AQ9:AQ11" si="22">AN9+AO9+AP9</f>
        <v>#N/A</v>
      </c>
      <c r="AR9" s="65"/>
      <c r="AT9" s="65"/>
      <c r="AU9" s="79"/>
      <c r="AV9" s="80" t="s">
        <v>320</v>
      </c>
      <c r="AW9" s="81" t="e">
        <f>HLOOKUP(AU$1,DGbaseF2V!$A$76:$S$92,2,0)*AU$2</f>
        <v>#N/A</v>
      </c>
      <c r="AX9" s="81"/>
      <c r="AY9" s="81"/>
      <c r="AZ9" s="81" t="e">
        <f t="shared" ref="AZ9:AZ11" si="23">AW9+AX9+AY9</f>
        <v>#N/A</v>
      </c>
      <c r="BA9" s="65"/>
      <c r="BC9" s="65"/>
      <c r="BD9" s="79"/>
      <c r="BE9" s="80" t="s">
        <v>320</v>
      </c>
      <c r="BF9" s="81" t="e">
        <f>HLOOKUP(BD$1,DGbaseF2V!$A$76:$S$92,2,0)*BD$2</f>
        <v>#N/A</v>
      </c>
      <c r="BG9" s="81"/>
      <c r="BH9" s="81"/>
      <c r="BI9" s="81" t="e">
        <f t="shared" ref="BI9:BI11" si="24">BF9+BG9+BH9</f>
        <v>#N/A</v>
      </c>
      <c r="BJ9" s="65"/>
      <c r="BL9" s="65"/>
      <c r="BM9" s="79"/>
      <c r="BN9" s="80" t="s">
        <v>320</v>
      </c>
      <c r="BO9" s="81" t="e">
        <f>HLOOKUP(BM$1,DGbaseF2V!$A$76:$S$92,2,0)*BM$2</f>
        <v>#N/A</v>
      </c>
      <c r="BP9" s="81"/>
      <c r="BQ9" s="81"/>
      <c r="BR9" s="81" t="e">
        <f t="shared" ref="BR9:BR11" si="25">BO9+BP9+BQ9</f>
        <v>#N/A</v>
      </c>
      <c r="BS9" s="65"/>
      <c r="BU9" s="65"/>
      <c r="BV9" s="79"/>
      <c r="BW9" s="80" t="s">
        <v>320</v>
      </c>
      <c r="BX9" s="81" t="e">
        <f>HLOOKUP(BV$1,DGbaseF2V!$A$76:$S$92,2,0)*BV$2</f>
        <v>#N/A</v>
      </c>
      <c r="BY9" s="81"/>
      <c r="BZ9" s="81"/>
      <c r="CA9" s="81" t="e">
        <f t="shared" ref="CA9:CA11" si="26">BX9+BY9+BZ9</f>
        <v>#N/A</v>
      </c>
      <c r="CB9" s="65"/>
      <c r="CD9" s="65"/>
      <c r="CE9" s="79"/>
      <c r="CF9" s="80" t="s">
        <v>320</v>
      </c>
      <c r="CG9" s="81" t="e">
        <f>HLOOKUP(CE$1,DGbaseF2V!$A$76:$S$92,2,0)*CE$2</f>
        <v>#N/A</v>
      </c>
      <c r="CH9" s="81"/>
      <c r="CI9" s="81"/>
      <c r="CJ9" s="81" t="e">
        <f t="shared" ref="CJ9:CJ11" si="27">CG9+CH9+CI9</f>
        <v>#N/A</v>
      </c>
      <c r="CK9" s="65"/>
      <c r="CM9" s="370"/>
      <c r="CN9" s="380"/>
      <c r="CO9" s="381" t="s">
        <v>320</v>
      </c>
      <c r="CP9" s="382" t="e">
        <f>HLOOKUP($CP$2,D$3:CK$106,7,FALSE)</f>
        <v>#N/A</v>
      </c>
      <c r="CQ9" s="382">
        <f>HLOOKUP($CQ$2,D$3:CK$106,7,FALSE)</f>
        <v>0</v>
      </c>
      <c r="CR9" s="382">
        <f>HLOOKUP($CR$2,D$3:CK$106,7,FALSE)</f>
        <v>0</v>
      </c>
      <c r="CS9" s="382" t="e">
        <f>HLOOKUP($CS$2,D$3:CK$106,7,FALSE)</f>
        <v>#N/A</v>
      </c>
      <c r="CT9" s="370"/>
      <c r="CW9" t="s">
        <v>286</v>
      </c>
      <c r="CX9" s="395" t="str">
        <f>BM1</f>
        <v>PET</v>
      </c>
      <c r="CY9">
        <f>BM2</f>
        <v>0.01</v>
      </c>
    </row>
    <row r="10" spans="1:103" ht="18" x14ac:dyDescent="0.35">
      <c r="A10" s="65"/>
      <c r="B10" s="79"/>
      <c r="C10" s="80" t="s">
        <v>337</v>
      </c>
      <c r="D10" s="81">
        <f>HLOOKUP($B$1,DGbaseF2V!$A$58:$S$74,2,0)*$B$2</f>
        <v>-1.43838824E-3</v>
      </c>
      <c r="E10" s="81"/>
      <c r="F10" s="81"/>
      <c r="G10" s="81">
        <f t="shared" si="10"/>
        <v>-1.43838824E-3</v>
      </c>
      <c r="H10" s="65"/>
      <c r="J10" s="65"/>
      <c r="K10" s="79"/>
      <c r="L10" s="80" t="s">
        <v>337</v>
      </c>
      <c r="M10" s="81">
        <f>HLOOKUP(K$1,DGbaseF2V!$A$58:$S$74,2,0)*K$2</f>
        <v>-1.43838824E-3</v>
      </c>
      <c r="N10" s="81"/>
      <c r="O10" s="81"/>
      <c r="P10" s="81">
        <f t="shared" si="11"/>
        <v>-1.43838824E-3</v>
      </c>
      <c r="Q10" s="65"/>
      <c r="S10" s="65"/>
      <c r="T10" s="79"/>
      <c r="U10" s="80" t="s">
        <v>337</v>
      </c>
      <c r="V10" s="81">
        <f>HLOOKUP(T$1,DGbaseF2V!$A$58:$S$74,2,0)*T$2</f>
        <v>-5.1067666650000008E-3</v>
      </c>
      <c r="W10" s="81"/>
      <c r="X10" s="81"/>
      <c r="Y10" s="81">
        <f t="shared" si="20"/>
        <v>-5.1067666650000008E-3</v>
      </c>
      <c r="Z10" s="65"/>
      <c r="AB10" s="65"/>
      <c r="AC10" s="79"/>
      <c r="AD10" s="80" t="s">
        <v>337</v>
      </c>
      <c r="AE10" s="81">
        <f>HLOOKUP(AC$1,DGbaseF2V!$A$58:$S$74,2,0)*AC$2</f>
        <v>-4.1782636350000003E-3</v>
      </c>
      <c r="AF10" s="81"/>
      <c r="AG10" s="81"/>
      <c r="AH10" s="81">
        <f t="shared" si="21"/>
        <v>-4.1782636350000003E-3</v>
      </c>
      <c r="AI10" s="65"/>
      <c r="AK10" s="65"/>
      <c r="AL10" s="79"/>
      <c r="AM10" s="80" t="s">
        <v>337</v>
      </c>
      <c r="AN10" s="81">
        <f>HLOOKUP(AL$1,DGbaseF2V!$A$58:$S$74,2,0)*AL$2</f>
        <v>-1.2226300040000001E-2</v>
      </c>
      <c r="AO10" s="81"/>
      <c r="AP10" s="81"/>
      <c r="AQ10" s="81">
        <f t="shared" si="22"/>
        <v>-1.2226300040000001E-2</v>
      </c>
      <c r="AR10" s="65"/>
      <c r="AT10" s="65"/>
      <c r="AU10" s="79"/>
      <c r="AV10" s="80" t="s">
        <v>337</v>
      </c>
      <c r="AW10" s="81">
        <f>HLOOKUP(AU$1,DGbaseF2V!$A$58:$S$74,2,0)*AU$2</f>
        <v>-2.1575823599999998E-3</v>
      </c>
      <c r="AX10" s="81"/>
      <c r="AY10" s="81"/>
      <c r="AZ10" s="81">
        <f t="shared" si="23"/>
        <v>-2.1575823599999998E-3</v>
      </c>
      <c r="BA10" s="65"/>
      <c r="BC10" s="65"/>
      <c r="BD10" s="79"/>
      <c r="BE10" s="80" t="s">
        <v>337</v>
      </c>
      <c r="BF10" s="81">
        <f>HLOOKUP(BD$1,DGbaseF2V!$A$58:$S$74,2,0)*BD$2</f>
        <v>-2.373340596E-3</v>
      </c>
      <c r="BG10" s="81"/>
      <c r="BH10" s="81"/>
      <c r="BI10" s="81">
        <f t="shared" si="24"/>
        <v>-2.373340596E-3</v>
      </c>
      <c r="BJ10" s="65"/>
      <c r="BL10" s="65"/>
      <c r="BM10" s="79"/>
      <c r="BN10" s="80" t="s">
        <v>337</v>
      </c>
      <c r="BO10" s="81">
        <f>HLOOKUP(BM$1,DGbaseF2V!$A$58:$S$74,2,0)*BM$2</f>
        <v>-7.1919411999999999E-4</v>
      </c>
      <c r="BP10" s="81"/>
      <c r="BQ10" s="81"/>
      <c r="BR10" s="81">
        <f t="shared" si="25"/>
        <v>-7.1919411999999999E-4</v>
      </c>
      <c r="BS10" s="65"/>
      <c r="BU10" s="65"/>
      <c r="BV10" s="79"/>
      <c r="BW10" s="80" t="s">
        <v>337</v>
      </c>
      <c r="BX10" s="81">
        <f>HLOOKUP(BV$1,DGbaseF2V!$A$58:$S$74,2,0)*BV$2</f>
        <v>-1.43838824E-3</v>
      </c>
      <c r="BY10" s="81"/>
      <c r="BZ10" s="81"/>
      <c r="CA10" s="81">
        <f t="shared" si="26"/>
        <v>-1.43838824E-3</v>
      </c>
      <c r="CB10" s="65"/>
      <c r="CD10" s="65"/>
      <c r="CE10" s="79"/>
      <c r="CF10" s="80" t="s">
        <v>337</v>
      </c>
      <c r="CG10" s="81">
        <f>HLOOKUP(CE$1,DGbaseF2V!$A$58:$S$74,2,0)*CE$2</f>
        <v>-1.2226300040000001E-3</v>
      </c>
      <c r="CH10" s="81"/>
      <c r="CI10" s="81"/>
      <c r="CJ10" s="81">
        <f t="shared" si="27"/>
        <v>-1.2226300040000001E-3</v>
      </c>
      <c r="CK10" s="65"/>
      <c r="CM10" s="370"/>
      <c r="CN10" s="380"/>
      <c r="CO10" s="381" t="s">
        <v>337</v>
      </c>
      <c r="CP10" s="382">
        <f>HLOOKUP($CP$2,D$3:CK$106,8,FALSE)</f>
        <v>-1.43838824E-3</v>
      </c>
      <c r="CQ10" s="382">
        <f>HLOOKUP($CQ$2,D$3:CK$106,8,FALSE)</f>
        <v>0</v>
      </c>
      <c r="CR10" s="382">
        <f>HLOOKUP($CR$2,D$3:CK$106,8,FALSE)</f>
        <v>0</v>
      </c>
      <c r="CS10" s="382">
        <f>HLOOKUP($CS$2,D$3:CK$106,8,FALSE)</f>
        <v>-1.43838824E-3</v>
      </c>
      <c r="CT10" s="370"/>
      <c r="CW10" t="s">
        <v>288</v>
      </c>
      <c r="CX10" s="395" t="str">
        <f>BV1</f>
        <v>PP</v>
      </c>
      <c r="CY10">
        <f>BV2</f>
        <v>0.02</v>
      </c>
    </row>
    <row r="11" spans="1:103" ht="18" x14ac:dyDescent="0.35">
      <c r="A11" s="65"/>
      <c r="B11" s="79"/>
      <c r="C11" s="80" t="s">
        <v>321</v>
      </c>
      <c r="D11" s="358" t="e">
        <f>HLOOKUP($B$1,DGbaseF2V!$A$22:$S$38,2,0)*$B$2</f>
        <v>#N/A</v>
      </c>
      <c r="E11" s="81"/>
      <c r="F11" s="81"/>
      <c r="G11" s="81" t="e">
        <f t="shared" si="10"/>
        <v>#N/A</v>
      </c>
      <c r="H11" s="65"/>
      <c r="J11" s="65"/>
      <c r="K11" s="79"/>
      <c r="L11" s="80" t="s">
        <v>321</v>
      </c>
      <c r="M11" s="358" t="e">
        <f>HLOOKUP(K$1,DGbaseF2V!$A$22:$S$38,2,0)*K$2</f>
        <v>#N/A</v>
      </c>
      <c r="N11" s="81"/>
      <c r="O11" s="81"/>
      <c r="P11" s="81" t="e">
        <f t="shared" si="11"/>
        <v>#N/A</v>
      </c>
      <c r="Q11" s="65"/>
      <c r="S11" s="65"/>
      <c r="T11" s="79"/>
      <c r="U11" s="80" t="s">
        <v>321</v>
      </c>
      <c r="V11" s="358" t="e">
        <f>HLOOKUP(T$1,DGbaseF2V!$A$22:$S$38,2,0)*T$2</f>
        <v>#N/A</v>
      </c>
      <c r="W11" s="81"/>
      <c r="X11" s="81"/>
      <c r="Y11" s="81" t="e">
        <f t="shared" si="20"/>
        <v>#N/A</v>
      </c>
      <c r="Z11" s="65"/>
      <c r="AB11" s="65"/>
      <c r="AC11" s="79"/>
      <c r="AD11" s="80" t="s">
        <v>321</v>
      </c>
      <c r="AE11" s="358" t="e">
        <f>HLOOKUP(AC$1,DGbaseF2V!$A$22:$S$38,2,0)*AC$2</f>
        <v>#N/A</v>
      </c>
      <c r="AF11" s="81"/>
      <c r="AG11" s="81"/>
      <c r="AH11" s="358" t="e">
        <f>AE11+AF11+AG11</f>
        <v>#N/A</v>
      </c>
      <c r="AI11" s="65"/>
      <c r="AK11" s="65"/>
      <c r="AL11" s="79"/>
      <c r="AM11" s="80" t="s">
        <v>321</v>
      </c>
      <c r="AN11" s="358" t="e">
        <f>HLOOKUP(AL$1,DGbaseF2V!$A$22:$S$38,2,0)*AL$2</f>
        <v>#N/A</v>
      </c>
      <c r="AO11" s="81"/>
      <c r="AP11" s="81"/>
      <c r="AQ11" s="81" t="e">
        <f t="shared" si="22"/>
        <v>#N/A</v>
      </c>
      <c r="AR11" s="65"/>
      <c r="AT11" s="65"/>
      <c r="AU11" s="79"/>
      <c r="AV11" s="80" t="s">
        <v>321</v>
      </c>
      <c r="AW11" s="358" t="e">
        <f>HLOOKUP(AU$1,DGbaseF2V!$A$22:$S$38,2,0)*AU$2</f>
        <v>#N/A</v>
      </c>
      <c r="AX11" s="81"/>
      <c r="AY11" s="81"/>
      <c r="AZ11" s="81" t="e">
        <f t="shared" si="23"/>
        <v>#N/A</v>
      </c>
      <c r="BA11" s="65"/>
      <c r="BC11" s="65"/>
      <c r="BD11" s="79"/>
      <c r="BE11" s="80" t="s">
        <v>321</v>
      </c>
      <c r="BF11" s="358" t="e">
        <f>HLOOKUP(BD$1,DGbaseF2V!$A$22:$S$38,2,0)*BD$2</f>
        <v>#N/A</v>
      </c>
      <c r="BG11" s="81"/>
      <c r="BH11" s="81"/>
      <c r="BI11" s="81" t="e">
        <f t="shared" si="24"/>
        <v>#N/A</v>
      </c>
      <c r="BJ11" s="65"/>
      <c r="BL11" s="65"/>
      <c r="BM11" s="79"/>
      <c r="BN11" s="80" t="s">
        <v>321</v>
      </c>
      <c r="BO11" s="358" t="e">
        <f>HLOOKUP(BM$1,DGbaseF2V!$A$22:$S$38,2,0)*BM$2</f>
        <v>#N/A</v>
      </c>
      <c r="BP11" s="81"/>
      <c r="BQ11" s="81"/>
      <c r="BR11" s="81" t="e">
        <f t="shared" si="25"/>
        <v>#N/A</v>
      </c>
      <c r="BS11" s="65"/>
      <c r="BU11" s="65"/>
      <c r="BV11" s="79"/>
      <c r="BW11" s="80" t="s">
        <v>321</v>
      </c>
      <c r="BX11" s="358" t="e">
        <f>HLOOKUP(BV$1,DGbaseF2V!$A$22:$S$38,2,0)*BV$2</f>
        <v>#N/A</v>
      </c>
      <c r="BY11" s="81"/>
      <c r="BZ11" s="81"/>
      <c r="CA11" s="81" t="e">
        <f t="shared" si="26"/>
        <v>#N/A</v>
      </c>
      <c r="CB11" s="65"/>
      <c r="CD11" s="65"/>
      <c r="CE11" s="79"/>
      <c r="CF11" s="80" t="s">
        <v>321</v>
      </c>
      <c r="CG11" s="358" t="e">
        <f>HLOOKUP(CE$1,DGbaseF2V!$A$22:$S$38,2,0)*CE$2</f>
        <v>#N/A</v>
      </c>
      <c r="CH11" s="81"/>
      <c r="CI11" s="81"/>
      <c r="CJ11" s="81" t="e">
        <f t="shared" si="27"/>
        <v>#N/A</v>
      </c>
      <c r="CK11" s="65"/>
      <c r="CM11" s="370"/>
      <c r="CN11" s="380"/>
      <c r="CO11" s="381" t="s">
        <v>321</v>
      </c>
      <c r="CP11" s="382" t="e">
        <f>HLOOKUP($CP$2,D$3:CK$106,9,FALSE)</f>
        <v>#N/A</v>
      </c>
      <c r="CQ11" s="382">
        <f>HLOOKUP($CQ$2,D$3:CK$106,9,FALSE)</f>
        <v>0</v>
      </c>
      <c r="CR11" s="382">
        <f>HLOOKUP($CR$2,D$3:CK$106,9,FALSE)</f>
        <v>0</v>
      </c>
      <c r="CS11" s="382" t="e">
        <f>HLOOKUP($CS$2,D$3:CK$106,9,FALSE)</f>
        <v>#N/A</v>
      </c>
      <c r="CT11" s="370"/>
      <c r="CW11" t="s">
        <v>290</v>
      </c>
      <c r="CX11" s="395" t="str">
        <f>CE1</f>
        <v>HDPE</v>
      </c>
      <c r="CY11">
        <f>CE2</f>
        <v>1.7000000000000001E-2</v>
      </c>
    </row>
    <row r="12" spans="1:103" ht="18" x14ac:dyDescent="0.35">
      <c r="A12" s="65"/>
      <c r="B12" s="79"/>
      <c r="C12" s="80" t="s">
        <v>322</v>
      </c>
      <c r="D12" s="81" t="s">
        <v>19</v>
      </c>
      <c r="E12" s="81" t="s">
        <v>19</v>
      </c>
      <c r="F12" s="81" t="s">
        <v>19</v>
      </c>
      <c r="G12" s="81" t="s">
        <v>19</v>
      </c>
      <c r="H12" s="65"/>
      <c r="J12" s="65"/>
      <c r="K12" s="79"/>
      <c r="L12" s="80" t="s">
        <v>322</v>
      </c>
      <c r="M12" s="81" t="s">
        <v>19</v>
      </c>
      <c r="N12" s="81" t="s">
        <v>19</v>
      </c>
      <c r="O12" s="81" t="s">
        <v>19</v>
      </c>
      <c r="P12" s="81" t="s">
        <v>19</v>
      </c>
      <c r="Q12" s="65"/>
      <c r="S12" s="65"/>
      <c r="T12" s="79"/>
      <c r="U12" s="80" t="s">
        <v>322</v>
      </c>
      <c r="V12" s="81" t="s">
        <v>19</v>
      </c>
      <c r="W12" s="81" t="s">
        <v>19</v>
      </c>
      <c r="X12" s="81" t="s">
        <v>19</v>
      </c>
      <c r="Y12" s="81" t="s">
        <v>19</v>
      </c>
      <c r="Z12" s="65"/>
      <c r="AB12" s="65"/>
      <c r="AC12" s="79"/>
      <c r="AD12" s="80" t="s">
        <v>322</v>
      </c>
      <c r="AE12" s="81" t="s">
        <v>19</v>
      </c>
      <c r="AF12" s="81" t="s">
        <v>19</v>
      </c>
      <c r="AG12" s="81" t="s">
        <v>19</v>
      </c>
      <c r="AH12" s="81" t="s">
        <v>19</v>
      </c>
      <c r="AI12" s="65"/>
      <c r="AK12" s="65"/>
      <c r="AL12" s="79"/>
      <c r="AM12" s="80" t="s">
        <v>322</v>
      </c>
      <c r="AN12" s="81" t="s">
        <v>19</v>
      </c>
      <c r="AO12" s="81" t="s">
        <v>19</v>
      </c>
      <c r="AP12" s="81" t="s">
        <v>19</v>
      </c>
      <c r="AQ12" s="81" t="s">
        <v>19</v>
      </c>
      <c r="AR12" s="65"/>
      <c r="AT12" s="65"/>
      <c r="AU12" s="79"/>
      <c r="AV12" s="80" t="s">
        <v>322</v>
      </c>
      <c r="AW12" s="81" t="s">
        <v>19</v>
      </c>
      <c r="AX12" s="81" t="s">
        <v>19</v>
      </c>
      <c r="AY12" s="81" t="s">
        <v>19</v>
      </c>
      <c r="AZ12" s="81" t="s">
        <v>19</v>
      </c>
      <c r="BA12" s="65"/>
      <c r="BC12" s="65"/>
      <c r="BD12" s="79"/>
      <c r="BE12" s="80" t="s">
        <v>322</v>
      </c>
      <c r="BF12" s="81" t="s">
        <v>19</v>
      </c>
      <c r="BG12" s="81" t="s">
        <v>19</v>
      </c>
      <c r="BH12" s="81" t="s">
        <v>19</v>
      </c>
      <c r="BI12" s="81" t="s">
        <v>19</v>
      </c>
      <c r="BJ12" s="65"/>
      <c r="BL12" s="65"/>
      <c r="BM12" s="79"/>
      <c r="BN12" s="80" t="s">
        <v>322</v>
      </c>
      <c r="BO12" s="81" t="s">
        <v>19</v>
      </c>
      <c r="BP12" s="81" t="s">
        <v>19</v>
      </c>
      <c r="BQ12" s="81" t="s">
        <v>19</v>
      </c>
      <c r="BR12" s="81" t="s">
        <v>19</v>
      </c>
      <c r="BS12" s="65"/>
      <c r="BU12" s="65"/>
      <c r="BV12" s="79"/>
      <c r="BW12" s="80" t="s">
        <v>322</v>
      </c>
      <c r="BX12" s="81" t="s">
        <v>19</v>
      </c>
      <c r="BY12" s="81" t="s">
        <v>19</v>
      </c>
      <c r="BZ12" s="81" t="s">
        <v>19</v>
      </c>
      <c r="CA12" s="81" t="s">
        <v>19</v>
      </c>
      <c r="CB12" s="65"/>
      <c r="CD12" s="65"/>
      <c r="CE12" s="79"/>
      <c r="CF12" s="80" t="s">
        <v>322</v>
      </c>
      <c r="CG12" s="81" t="s">
        <v>19</v>
      </c>
      <c r="CH12" s="81" t="s">
        <v>19</v>
      </c>
      <c r="CI12" s="81" t="s">
        <v>19</v>
      </c>
      <c r="CJ12" s="81" t="s">
        <v>19</v>
      </c>
      <c r="CK12" s="65"/>
      <c r="CM12" s="370"/>
      <c r="CN12" s="380"/>
      <c r="CO12" s="381" t="s">
        <v>322</v>
      </c>
      <c r="CP12" s="382" t="str">
        <f>HLOOKUP($CP$2,D$3:CK$106,10,FALSE)</f>
        <v>x</v>
      </c>
      <c r="CQ12" s="382" t="str">
        <f>HLOOKUP($CQ$2,D$3:CK$106,10,FALSE)</f>
        <v>x</v>
      </c>
      <c r="CR12" s="382" t="str">
        <f>HLOOKUP($CR$2,D$3:CK$106,10,FALSE)</f>
        <v>x</v>
      </c>
      <c r="CS12" s="382" t="str">
        <f>HLOOKUP($CS$2,D$3:CK$106,10,FALSE)</f>
        <v>x</v>
      </c>
      <c r="CT12" s="370"/>
    </row>
    <row r="13" spans="1:103" ht="18" x14ac:dyDescent="0.35">
      <c r="A13" s="65"/>
      <c r="B13" s="79"/>
      <c r="C13" s="80" t="s">
        <v>339</v>
      </c>
      <c r="D13" s="358">
        <f>HLOOKUP($B$1,DGbaseF2V!$A$40:$S$56,2,0)*$B$2</f>
        <v>7.9857296000000008E-2</v>
      </c>
      <c r="E13" s="81"/>
      <c r="F13" s="81"/>
      <c r="G13" s="81">
        <f t="shared" si="10"/>
        <v>7.9857296000000008E-2</v>
      </c>
      <c r="H13" s="65"/>
      <c r="J13" s="65"/>
      <c r="K13" s="79"/>
      <c r="L13" s="80" t="s">
        <v>339</v>
      </c>
      <c r="M13" s="358">
        <f>HLOOKUP(K$1,DGbaseF2V!$A$40:$S$56,2,0)*K$2</f>
        <v>7.1716385999999993E-2</v>
      </c>
      <c r="N13" s="81"/>
      <c r="O13" s="81"/>
      <c r="P13" s="81">
        <f t="shared" si="11"/>
        <v>7.1716385999999993E-2</v>
      </c>
      <c r="Q13" s="65"/>
      <c r="S13" s="65"/>
      <c r="T13" s="79"/>
      <c r="U13" s="80" t="s">
        <v>339</v>
      </c>
      <c r="V13" s="358">
        <f>HLOOKUP(T$1,DGbaseF2V!$A$40:$S$56,2,0)*T$2</f>
        <v>0.10809773425000001</v>
      </c>
      <c r="W13" s="81"/>
      <c r="X13" s="81"/>
      <c r="Y13" s="81">
        <f t="shared" ref="Y13" si="28">V13+W13+X13</f>
        <v>0.10809773425000001</v>
      </c>
      <c r="Z13" s="65"/>
      <c r="AB13" s="65"/>
      <c r="AC13" s="79"/>
      <c r="AD13" s="80" t="s">
        <v>339</v>
      </c>
      <c r="AE13" s="358">
        <f>HLOOKUP(AC$1,DGbaseF2V!$A$40:$S$56,2,0)*AC$2</f>
        <v>8.8443600750000004E-2</v>
      </c>
      <c r="AF13" s="81"/>
      <c r="AG13" s="81"/>
      <c r="AH13" s="81">
        <f t="shared" ref="AH13" si="29">AE13+AF13+AG13</f>
        <v>8.8443600750000004E-2</v>
      </c>
      <c r="AI13" s="65"/>
      <c r="AK13" s="65"/>
      <c r="AL13" s="79"/>
      <c r="AM13" s="80" t="s">
        <v>339</v>
      </c>
      <c r="AN13" s="358">
        <f>HLOOKUP(AL$1,DGbaseF2V!$A$40:$S$56,2,0)*AL$2</f>
        <v>0.67878701600000002</v>
      </c>
      <c r="AO13" s="81"/>
      <c r="AP13" s="81"/>
      <c r="AQ13" s="81">
        <f t="shared" ref="AQ13" si="30">AN13+AO13+AP13</f>
        <v>0.67878701600000002</v>
      </c>
      <c r="AR13" s="65"/>
      <c r="AT13" s="65"/>
      <c r="AU13" s="79"/>
      <c r="AV13" s="80" t="s">
        <v>339</v>
      </c>
      <c r="AW13" s="358">
        <f>HLOOKUP(AU$1,DGbaseF2V!$A$40:$S$56,2,0)*AU$2</f>
        <v>0.10757457899999999</v>
      </c>
      <c r="AX13" s="81"/>
      <c r="AY13" s="81"/>
      <c r="AZ13" s="81">
        <f t="shared" ref="AZ13" si="31">AW13+AX13+AY13</f>
        <v>0.10757457899999999</v>
      </c>
      <c r="BA13" s="65"/>
      <c r="BC13" s="65"/>
      <c r="BD13" s="79"/>
      <c r="BE13" s="80" t="s">
        <v>339</v>
      </c>
      <c r="BF13" s="358">
        <f>HLOOKUP(BD$1,DGbaseF2V!$A$40:$S$56,2,0)*BD$2</f>
        <v>1.4108133599999999E-2</v>
      </c>
      <c r="BG13" s="81"/>
      <c r="BH13" s="81"/>
      <c r="BI13" s="81">
        <f t="shared" ref="BI13" si="32">BF13+BG13+BH13</f>
        <v>1.4108133599999999E-2</v>
      </c>
      <c r="BJ13" s="65"/>
      <c r="BL13" s="65"/>
      <c r="BM13" s="79"/>
      <c r="BN13" s="80" t="s">
        <v>339</v>
      </c>
      <c r="BO13" s="358">
        <f>HLOOKUP(BM$1,DGbaseF2V!$A$40:$S$56,2,0)*BM$2</f>
        <v>4.2751919999999997E-3</v>
      </c>
      <c r="BP13" s="81"/>
      <c r="BQ13" s="81"/>
      <c r="BR13" s="81">
        <f t="shared" ref="BR13" si="33">BO13+BP13+BQ13</f>
        <v>4.2751919999999997E-3</v>
      </c>
      <c r="BS13" s="65"/>
      <c r="BU13" s="65"/>
      <c r="BV13" s="79"/>
      <c r="BW13" s="80" t="s">
        <v>339</v>
      </c>
      <c r="BX13" s="358">
        <f>HLOOKUP(BV$1,DGbaseF2V!$A$40:$S$56,2,0)*BV$2</f>
        <v>7.1716385999999993E-2</v>
      </c>
      <c r="BY13" s="81"/>
      <c r="BZ13" s="81"/>
      <c r="CA13" s="81">
        <f t="shared" ref="CA13" si="34">BX13+BY13+BZ13</f>
        <v>7.1716385999999993E-2</v>
      </c>
      <c r="CB13" s="65"/>
      <c r="CD13" s="65"/>
      <c r="CE13" s="79"/>
      <c r="CF13" s="80" t="s">
        <v>339</v>
      </c>
      <c r="CG13" s="358">
        <f>HLOOKUP(CE$1,DGbaseF2V!$A$40:$S$56,2,0)*CE$2</f>
        <v>6.7878701600000008E-2</v>
      </c>
      <c r="CH13" s="81"/>
      <c r="CI13" s="81"/>
      <c r="CJ13" s="81">
        <f t="shared" ref="CJ13" si="35">CG13+CH13+CI13</f>
        <v>6.7878701600000008E-2</v>
      </c>
      <c r="CK13" s="65"/>
      <c r="CM13" s="370"/>
      <c r="CN13" s="380"/>
      <c r="CO13" s="381" t="s">
        <v>339</v>
      </c>
      <c r="CP13" s="382">
        <f>HLOOKUP($CP$2,D$3:CK$106,11,FALSE)</f>
        <v>7.1716385999999993E-2</v>
      </c>
      <c r="CQ13" s="382">
        <f>HLOOKUP($CQ$2,D$3:CK$106,11,FALSE)</f>
        <v>0</v>
      </c>
      <c r="CR13" s="382">
        <f>HLOOKUP($CR$2,D$3:CK$106,11,FALSE)</f>
        <v>0</v>
      </c>
      <c r="CS13" s="382">
        <f>HLOOKUP($CS$2,D$3:CK$106,11,FALSE)</f>
        <v>7.1716385999999993E-2</v>
      </c>
      <c r="CT13" s="370"/>
    </row>
    <row r="14" spans="1:103" ht="18" x14ac:dyDescent="0.35">
      <c r="A14" s="65"/>
      <c r="B14" s="79"/>
      <c r="C14" s="85" t="s">
        <v>340</v>
      </c>
      <c r="D14" s="86"/>
      <c r="E14" s="86"/>
      <c r="F14" s="86"/>
      <c r="G14" s="86"/>
      <c r="H14" s="89" t="s">
        <v>341</v>
      </c>
      <c r="J14" s="65"/>
      <c r="K14" s="79"/>
      <c r="L14" s="85" t="s">
        <v>340</v>
      </c>
      <c r="M14" s="86"/>
      <c r="N14" s="86"/>
      <c r="O14" s="86"/>
      <c r="P14" s="86"/>
      <c r="Q14" s="89" t="s">
        <v>341</v>
      </c>
      <c r="S14" s="65"/>
      <c r="T14" s="79"/>
      <c r="U14" s="85" t="s">
        <v>340</v>
      </c>
      <c r="V14" s="86"/>
      <c r="W14" s="86"/>
      <c r="X14" s="86"/>
      <c r="Y14" s="86"/>
      <c r="Z14" s="89" t="s">
        <v>341</v>
      </c>
      <c r="AB14" s="65"/>
      <c r="AC14" s="79"/>
      <c r="AD14" s="85" t="s">
        <v>340</v>
      </c>
      <c r="AE14" s="86"/>
      <c r="AF14" s="86"/>
      <c r="AG14" s="86"/>
      <c r="AH14" s="86"/>
      <c r="AI14" s="89" t="s">
        <v>341</v>
      </c>
      <c r="AK14" s="65"/>
      <c r="AL14" s="79"/>
      <c r="AM14" s="85" t="s">
        <v>340</v>
      </c>
      <c r="AN14" s="86"/>
      <c r="AO14" s="86"/>
      <c r="AP14" s="86"/>
      <c r="AQ14" s="86"/>
      <c r="AR14" s="89" t="s">
        <v>341</v>
      </c>
      <c r="AT14" s="65"/>
      <c r="AU14" s="79"/>
      <c r="AV14" s="85" t="s">
        <v>340</v>
      </c>
      <c r="AW14" s="86"/>
      <c r="AX14" s="86"/>
      <c r="AY14" s="86"/>
      <c r="AZ14" s="86"/>
      <c r="BA14" s="89" t="s">
        <v>341</v>
      </c>
      <c r="BC14" s="65"/>
      <c r="BD14" s="79"/>
      <c r="BE14" s="85" t="s">
        <v>340</v>
      </c>
      <c r="BF14" s="86"/>
      <c r="BG14" s="86"/>
      <c r="BH14" s="86"/>
      <c r="BI14" s="86"/>
      <c r="BJ14" s="89" t="s">
        <v>341</v>
      </c>
      <c r="BL14" s="65"/>
      <c r="BM14" s="79"/>
      <c r="BN14" s="85" t="s">
        <v>340</v>
      </c>
      <c r="BO14" s="86"/>
      <c r="BP14" s="86"/>
      <c r="BQ14" s="86"/>
      <c r="BR14" s="86"/>
      <c r="BS14" s="89" t="s">
        <v>341</v>
      </c>
      <c r="BU14" s="65"/>
      <c r="BV14" s="79"/>
      <c r="BW14" s="85" t="s">
        <v>340</v>
      </c>
      <c r="BX14" s="86"/>
      <c r="BY14" s="86"/>
      <c r="BZ14" s="86"/>
      <c r="CA14" s="86"/>
      <c r="CB14" s="89" t="s">
        <v>341</v>
      </c>
      <c r="CD14" s="65"/>
      <c r="CE14" s="79"/>
      <c r="CF14" s="85" t="s">
        <v>340</v>
      </c>
      <c r="CG14" s="86"/>
      <c r="CH14" s="86"/>
      <c r="CI14" s="86"/>
      <c r="CJ14" s="86"/>
      <c r="CK14" s="89" t="s">
        <v>341</v>
      </c>
      <c r="CM14" s="370"/>
      <c r="CN14" s="380"/>
      <c r="CO14" s="383" t="s">
        <v>340</v>
      </c>
      <c r="CP14" s="382"/>
      <c r="CQ14" s="382"/>
      <c r="CR14" s="382"/>
      <c r="CS14" s="382"/>
      <c r="CT14" s="385" t="s">
        <v>341</v>
      </c>
    </row>
    <row r="15" spans="1:103" ht="18" x14ac:dyDescent="0.35">
      <c r="A15" s="65"/>
      <c r="B15" s="90"/>
      <c r="C15" s="91"/>
      <c r="D15" s="92"/>
      <c r="E15" s="92"/>
      <c r="F15" s="92"/>
      <c r="G15" s="92"/>
      <c r="H15" s="65"/>
      <c r="J15" s="65"/>
      <c r="K15" s="90"/>
      <c r="L15" s="91"/>
      <c r="M15" s="92"/>
      <c r="N15" s="92"/>
      <c r="O15" s="92"/>
      <c r="P15" s="92"/>
      <c r="Q15" s="65"/>
      <c r="S15" s="65"/>
      <c r="T15" s="90"/>
      <c r="U15" s="91"/>
      <c r="V15" s="92"/>
      <c r="W15" s="92"/>
      <c r="X15" s="92"/>
      <c r="Y15" s="92"/>
      <c r="Z15" s="65"/>
      <c r="AB15" s="65"/>
      <c r="AC15" s="90"/>
      <c r="AD15" s="91"/>
      <c r="AE15" s="92"/>
      <c r="AF15" s="92"/>
      <c r="AG15" s="92"/>
      <c r="AH15" s="92"/>
      <c r="AI15" s="65"/>
      <c r="AK15" s="65"/>
      <c r="AL15" s="90"/>
      <c r="AM15" s="91"/>
      <c r="AN15" s="92"/>
      <c r="AO15" s="92"/>
      <c r="AP15" s="92"/>
      <c r="AQ15" s="92"/>
      <c r="AR15" s="65"/>
      <c r="AT15" s="65"/>
      <c r="AU15" s="90"/>
      <c r="AV15" s="91"/>
      <c r="AW15" s="92"/>
      <c r="AX15" s="92"/>
      <c r="AY15" s="92"/>
      <c r="AZ15" s="92"/>
      <c r="BA15" s="65"/>
      <c r="BC15" s="65"/>
      <c r="BD15" s="90"/>
      <c r="BE15" s="91"/>
      <c r="BF15" s="92"/>
      <c r="BG15" s="92"/>
      <c r="BH15" s="92"/>
      <c r="BI15" s="92"/>
      <c r="BJ15" s="65"/>
      <c r="BL15" s="65"/>
      <c r="BM15" s="90"/>
      <c r="BN15" s="91"/>
      <c r="BO15" s="92"/>
      <c r="BP15" s="92"/>
      <c r="BQ15" s="92"/>
      <c r="BR15" s="92"/>
      <c r="BS15" s="65"/>
      <c r="BU15" s="65"/>
      <c r="BV15" s="90"/>
      <c r="BW15" s="91"/>
      <c r="BX15" s="92"/>
      <c r="BY15" s="92"/>
      <c r="BZ15" s="92"/>
      <c r="CA15" s="92"/>
      <c r="CB15" s="65"/>
      <c r="CD15" s="65"/>
      <c r="CE15" s="90"/>
      <c r="CF15" s="91"/>
      <c r="CG15" s="92"/>
      <c r="CH15" s="92"/>
      <c r="CI15" s="92"/>
      <c r="CJ15" s="92"/>
      <c r="CK15" s="65"/>
      <c r="CM15" s="370"/>
      <c r="CN15" s="386"/>
      <c r="CO15" s="387"/>
      <c r="CP15" s="382"/>
      <c r="CQ15" s="382"/>
      <c r="CR15" s="382"/>
      <c r="CS15" s="382"/>
      <c r="CT15" s="370"/>
    </row>
    <row r="16" spans="1:103" ht="18" x14ac:dyDescent="0.35">
      <c r="A16" s="20"/>
      <c r="B16" s="95"/>
      <c r="C16" s="96"/>
      <c r="D16" s="97"/>
      <c r="E16" s="97"/>
      <c r="F16" s="97"/>
      <c r="G16" s="99"/>
      <c r="H16" s="20"/>
      <c r="J16" s="20"/>
      <c r="K16" s="95"/>
      <c r="L16" s="96"/>
      <c r="M16" s="97"/>
      <c r="N16" s="97"/>
      <c r="O16" s="97"/>
      <c r="P16" s="99"/>
      <c r="Q16" s="20"/>
      <c r="S16" s="20"/>
      <c r="T16" s="95"/>
      <c r="U16" s="96"/>
      <c r="V16" s="97"/>
      <c r="W16" s="97"/>
      <c r="X16" s="97"/>
      <c r="Y16" s="99"/>
      <c r="Z16" s="20"/>
      <c r="AB16" s="20"/>
      <c r="AC16" s="95"/>
      <c r="AD16" s="96"/>
      <c r="AE16" s="97"/>
      <c r="AF16" s="97"/>
      <c r="AG16" s="97"/>
      <c r="AH16" s="99"/>
      <c r="AI16" s="20"/>
      <c r="AK16" s="20"/>
      <c r="AL16" s="95"/>
      <c r="AM16" s="96"/>
      <c r="AN16" s="97"/>
      <c r="AO16" s="97"/>
      <c r="AP16" s="97"/>
      <c r="AQ16" s="99"/>
      <c r="AR16" s="20"/>
      <c r="AT16" s="20"/>
      <c r="AU16" s="95"/>
      <c r="AV16" s="96"/>
      <c r="AW16" s="97"/>
      <c r="AX16" s="97"/>
      <c r="AY16" s="97"/>
      <c r="AZ16" s="99"/>
      <c r="BA16" s="20"/>
      <c r="BC16" s="20"/>
      <c r="BD16" s="95"/>
      <c r="BE16" s="96"/>
      <c r="BF16" s="97"/>
      <c r="BG16" s="97"/>
      <c r="BH16" s="97"/>
      <c r="BI16" s="99"/>
      <c r="BJ16" s="20"/>
      <c r="BL16" s="20"/>
      <c r="BM16" s="95"/>
      <c r="BN16" s="96"/>
      <c r="BO16" s="97"/>
      <c r="BP16" s="97"/>
      <c r="BQ16" s="97"/>
      <c r="BR16" s="99"/>
      <c r="BS16" s="20"/>
      <c r="BU16" s="20"/>
      <c r="BV16" s="95"/>
      <c r="BW16" s="96"/>
      <c r="BX16" s="97"/>
      <c r="BY16" s="97"/>
      <c r="BZ16" s="97"/>
      <c r="CA16" s="99"/>
      <c r="CB16" s="20"/>
      <c r="CD16" s="20"/>
      <c r="CE16" s="95"/>
      <c r="CF16" s="96"/>
      <c r="CG16" s="97"/>
      <c r="CH16" s="97"/>
      <c r="CI16" s="97"/>
      <c r="CJ16" s="99"/>
      <c r="CK16" s="20"/>
      <c r="CM16" s="370"/>
      <c r="CN16" s="386"/>
      <c r="CO16" s="387"/>
      <c r="CP16" s="382"/>
      <c r="CQ16" s="382"/>
      <c r="CR16" s="382"/>
      <c r="CS16" s="382"/>
      <c r="CT16" s="370"/>
    </row>
    <row r="17" spans="1:98" ht="18" x14ac:dyDescent="0.3">
      <c r="A17" s="74"/>
      <c r="B17" s="75" t="s">
        <v>328</v>
      </c>
      <c r="C17" s="100" t="s">
        <v>342</v>
      </c>
      <c r="D17" s="77"/>
      <c r="E17" s="77"/>
      <c r="F17" s="77"/>
      <c r="G17" s="77"/>
      <c r="H17" s="65"/>
      <c r="J17" s="74"/>
      <c r="K17" s="75" t="s">
        <v>328</v>
      </c>
      <c r="L17" s="100" t="s">
        <v>342</v>
      </c>
      <c r="M17" s="77"/>
      <c r="N17" s="77"/>
      <c r="O17" s="77"/>
      <c r="P17" s="77"/>
      <c r="Q17" s="65"/>
      <c r="S17" s="74"/>
      <c r="T17" s="75" t="s">
        <v>328</v>
      </c>
      <c r="U17" s="100" t="s">
        <v>342</v>
      </c>
      <c r="V17" s="77"/>
      <c r="W17" s="77"/>
      <c r="X17" s="77"/>
      <c r="Y17" s="77"/>
      <c r="Z17" s="65"/>
      <c r="AB17" s="74"/>
      <c r="AC17" s="75" t="s">
        <v>328</v>
      </c>
      <c r="AD17" s="100" t="s">
        <v>342</v>
      </c>
      <c r="AE17" s="77"/>
      <c r="AF17" s="77"/>
      <c r="AG17" s="77"/>
      <c r="AH17" s="77"/>
      <c r="AI17" s="65"/>
      <c r="AK17" s="74"/>
      <c r="AL17" s="75" t="s">
        <v>328</v>
      </c>
      <c r="AM17" s="100" t="s">
        <v>342</v>
      </c>
      <c r="AN17" s="77"/>
      <c r="AO17" s="77"/>
      <c r="AP17" s="77"/>
      <c r="AQ17" s="77"/>
      <c r="AR17" s="65"/>
      <c r="AT17" s="74"/>
      <c r="AU17" s="75" t="s">
        <v>328</v>
      </c>
      <c r="AV17" s="100" t="s">
        <v>342</v>
      </c>
      <c r="AW17" s="77"/>
      <c r="AX17" s="77"/>
      <c r="AY17" s="77"/>
      <c r="AZ17" s="77"/>
      <c r="BA17" s="65"/>
      <c r="BC17" s="74"/>
      <c r="BD17" s="75" t="s">
        <v>328</v>
      </c>
      <c r="BE17" s="100" t="s">
        <v>342</v>
      </c>
      <c r="BF17" s="77"/>
      <c r="BG17" s="77"/>
      <c r="BH17" s="77"/>
      <c r="BI17" s="77"/>
      <c r="BJ17" s="65"/>
      <c r="BL17" s="74"/>
      <c r="BM17" s="75" t="s">
        <v>328</v>
      </c>
      <c r="BN17" s="100" t="s">
        <v>342</v>
      </c>
      <c r="BO17" s="77"/>
      <c r="BP17" s="77"/>
      <c r="BQ17" s="77"/>
      <c r="BR17" s="77"/>
      <c r="BS17" s="65"/>
      <c r="BU17" s="74"/>
      <c r="BV17" s="75" t="s">
        <v>328</v>
      </c>
      <c r="BW17" s="100" t="s">
        <v>342</v>
      </c>
      <c r="BX17" s="77"/>
      <c r="BY17" s="77"/>
      <c r="BZ17" s="77"/>
      <c r="CA17" s="77"/>
      <c r="CB17" s="65"/>
      <c r="CD17" s="74"/>
      <c r="CE17" s="75" t="s">
        <v>328</v>
      </c>
      <c r="CF17" s="100" t="s">
        <v>342</v>
      </c>
      <c r="CG17" s="77"/>
      <c r="CH17" s="77"/>
      <c r="CI17" s="77"/>
      <c r="CJ17" s="77"/>
      <c r="CK17" s="65"/>
      <c r="CM17" s="376"/>
      <c r="CN17" s="377" t="s">
        <v>328</v>
      </c>
      <c r="CO17" s="389" t="s">
        <v>342</v>
      </c>
      <c r="CP17" s="379">
        <f>IF($CS$3="yes",(SUM(CP18,CP19,CP26)/1),(SUM(CP18:CP24)/1))</f>
        <v>4.6170504350000001E-4</v>
      </c>
      <c r="CQ17" s="379">
        <f>IF($CS$3="yes",(SUM(CQ18,CQ19,CQ26)/1),(SUM(CQ18:CQ24)/1))</f>
        <v>5.8251965999999998E-5</v>
      </c>
      <c r="CR17" s="379">
        <f>IF($CS$3="yes",(SUM(CR18,CR19,CR26)/1),(SUM(CR18:CR24)/1))</f>
        <v>0</v>
      </c>
      <c r="CS17" s="379">
        <f>IF($CS$3="yes",(SUM(CS18,CS19,CS26)/1),(SUM(CS18:CS24)/1))</f>
        <v>5.199570095E-4</v>
      </c>
      <c r="CT17" s="370"/>
    </row>
    <row r="18" spans="1:98" ht="18" x14ac:dyDescent="0.35">
      <c r="A18" s="503"/>
      <c r="B18" s="90"/>
      <c r="C18" s="80" t="s">
        <v>13</v>
      </c>
      <c r="D18" s="81">
        <v>1.07516645E-4</v>
      </c>
      <c r="E18" s="81"/>
      <c r="F18" s="81"/>
      <c r="G18" s="81">
        <f>D18+E18+F18</f>
        <v>1.07516645E-4</v>
      </c>
      <c r="H18" s="65"/>
      <c r="J18" s="503"/>
      <c r="K18" s="90"/>
      <c r="L18" s="80" t="s">
        <v>13</v>
      </c>
      <c r="M18" s="81">
        <v>2.2348341999999999E-4</v>
      </c>
      <c r="N18" s="81">
        <v>7.4494473000000003E-5</v>
      </c>
      <c r="O18" s="81"/>
      <c r="P18" s="81">
        <f>M18+N18+O18</f>
        <v>2.9797789300000001E-4</v>
      </c>
      <c r="Q18" s="65"/>
      <c r="S18" s="503"/>
      <c r="T18" s="90"/>
      <c r="U18" s="80" t="s">
        <v>13</v>
      </c>
      <c r="V18" s="81">
        <v>-4.5036639000000001E-7</v>
      </c>
      <c r="W18" s="81"/>
      <c r="X18" s="81"/>
      <c r="Y18" s="81">
        <f>V18+W18+X18</f>
        <v>-4.5036639000000001E-7</v>
      </c>
      <c r="Z18" s="65"/>
      <c r="AB18" s="503"/>
      <c r="AC18" s="90"/>
      <c r="AD18" s="80" t="s">
        <v>13</v>
      </c>
      <c r="AE18" s="81">
        <v>-3.0024425999999999E-7</v>
      </c>
      <c r="AF18" s="81">
        <v>1.0365303E-5</v>
      </c>
      <c r="AG18" s="81"/>
      <c r="AH18" s="81">
        <f>AE18+AF18+AG18</f>
        <v>1.006505874E-5</v>
      </c>
      <c r="AI18" s="65"/>
      <c r="AK18" s="503"/>
      <c r="AL18" s="90"/>
      <c r="AM18" s="80" t="s">
        <v>13</v>
      </c>
      <c r="AN18" s="81">
        <v>2.3331445999999999E-3</v>
      </c>
      <c r="AO18" s="81">
        <v>1.4898894999999999E-4</v>
      </c>
      <c r="AP18" s="81"/>
      <c r="AQ18" s="81">
        <f>AN18+AO18+AP18</f>
        <v>2.4821335500000001E-3</v>
      </c>
      <c r="AR18" s="65"/>
      <c r="AT18" s="503"/>
      <c r="AU18" s="90"/>
      <c r="AV18" s="80" t="s">
        <v>13</v>
      </c>
      <c r="AW18" s="81">
        <v>4.4696683999999998E-4</v>
      </c>
      <c r="AX18" s="81"/>
      <c r="AY18" s="81"/>
      <c r="AZ18" s="81">
        <f>AW18+AX18+AY18</f>
        <v>4.4696683999999998E-4</v>
      </c>
      <c r="BA18" s="65"/>
      <c r="BC18" s="503"/>
      <c r="BD18" s="90"/>
      <c r="BE18" s="80" t="s">
        <v>13</v>
      </c>
      <c r="BF18" s="81">
        <v>6.2191821000000001E-5</v>
      </c>
      <c r="BG18" s="81">
        <v>5.8251965999999998E-5</v>
      </c>
      <c r="BH18" s="81"/>
      <c r="BI18" s="81">
        <f>BF18+BG18+BH18</f>
        <v>1.20443787E-4</v>
      </c>
      <c r="BJ18" s="65"/>
      <c r="BL18" s="503"/>
      <c r="BM18" s="90"/>
      <c r="BN18" s="80" t="s">
        <v>13</v>
      </c>
      <c r="BO18" s="81">
        <v>2.0730607E-5</v>
      </c>
      <c r="BP18" s="81"/>
      <c r="BQ18" s="81"/>
      <c r="BR18" s="81">
        <f>BO18+BP18+BQ18</f>
        <v>2.0730607E-5</v>
      </c>
      <c r="BS18" s="65"/>
      <c r="BU18" s="503"/>
      <c r="BV18" s="90"/>
      <c r="BW18" s="80" t="s">
        <v>13</v>
      </c>
      <c r="BX18" s="81">
        <v>2.9797789000000002E-4</v>
      </c>
      <c r="BY18" s="81">
        <f>BG18</f>
        <v>5.8251965999999998E-5</v>
      </c>
      <c r="BZ18" s="81"/>
      <c r="CA18" s="81">
        <f>BX18+BY18+BZ18</f>
        <v>3.56229856E-4</v>
      </c>
      <c r="CB18" s="65"/>
      <c r="CD18" s="503"/>
      <c r="CE18" s="90"/>
      <c r="CF18" s="80" t="s">
        <v>13</v>
      </c>
      <c r="CG18" s="81">
        <v>8.8302714999999998E-5</v>
      </c>
      <c r="CH18" s="81">
        <v>4.8543305E-5</v>
      </c>
      <c r="CI18" s="81"/>
      <c r="CJ18" s="81">
        <f>CG18+CH18+CI18</f>
        <v>1.3684602000000001E-4</v>
      </c>
      <c r="CK18" s="65"/>
      <c r="CM18" s="516"/>
      <c r="CN18" s="386"/>
      <c r="CO18" s="381" t="s">
        <v>13</v>
      </c>
      <c r="CP18" s="382">
        <f>HLOOKUP($CP$2,D$3:CK$106,16,FALSE)</f>
        <v>2.9797789000000002E-4</v>
      </c>
      <c r="CQ18" s="382">
        <f>HLOOKUP($CQ$2,D$3:CK$106,16,FALSE)</f>
        <v>5.8251965999999998E-5</v>
      </c>
      <c r="CR18" s="382">
        <f>HLOOKUP($CR$2,D$3:CK$106,16,FALSE)</f>
        <v>0</v>
      </c>
      <c r="CS18" s="382">
        <f>HLOOKUP($CS$2,D$3:CK$106,16,FALSE)</f>
        <v>3.56229856E-4</v>
      </c>
      <c r="CT18" s="370"/>
    </row>
    <row r="19" spans="1:98" ht="18" x14ac:dyDescent="0.35">
      <c r="A19" s="504"/>
      <c r="B19" s="101"/>
      <c r="C19" s="80" t="s">
        <v>306</v>
      </c>
      <c r="D19" s="81">
        <v>5.5145914999999998E-5</v>
      </c>
      <c r="E19" s="81"/>
      <c r="F19" s="81"/>
      <c r="G19" s="81">
        <f t="shared" ref="G19:G26" si="36">D19+E19+F19</f>
        <v>5.5145914999999998E-5</v>
      </c>
      <c r="H19" s="65"/>
      <c r="J19" s="504"/>
      <c r="K19" s="101"/>
      <c r="L19" s="80" t="s">
        <v>306</v>
      </c>
      <c r="M19" s="81">
        <v>2.6690145999999998E-6</v>
      </c>
      <c r="N19" s="81">
        <v>8.8340623999999996E-7</v>
      </c>
      <c r="O19" s="81"/>
      <c r="P19" s="81">
        <f t="shared" ref="P19:P26" si="37">M19+N19+O19</f>
        <v>3.5524208399999999E-6</v>
      </c>
      <c r="Q19" s="65"/>
      <c r="S19" s="504"/>
      <c r="T19" s="101"/>
      <c r="U19" s="80" t="s">
        <v>306</v>
      </c>
      <c r="V19" s="81">
        <v>5.8643138E-6</v>
      </c>
      <c r="W19" s="81"/>
      <c r="X19" s="81"/>
      <c r="Y19" s="81">
        <f t="shared" ref="Y19" si="38">V19+W19+X19</f>
        <v>5.8643138E-6</v>
      </c>
      <c r="Z19" s="65"/>
      <c r="AB19" s="504"/>
      <c r="AC19" s="101"/>
      <c r="AD19" s="80" t="s">
        <v>306</v>
      </c>
      <c r="AE19" s="81">
        <v>3.9471343000000002E-6</v>
      </c>
      <c r="AF19" s="81">
        <v>8.8340623999999996E-7</v>
      </c>
      <c r="AG19" s="81"/>
      <c r="AH19" s="81">
        <f t="shared" ref="AH19" si="39">AE19+AF19+AG19</f>
        <v>4.8305405399999998E-6</v>
      </c>
      <c r="AI19" s="65"/>
      <c r="AK19" s="504"/>
      <c r="AL19" s="101"/>
      <c r="AM19" s="80" t="s">
        <v>306</v>
      </c>
      <c r="AN19" s="81">
        <v>4.2851808999999999E-4</v>
      </c>
      <c r="AO19" s="81">
        <v>1.8795878E-6</v>
      </c>
      <c r="AP19" s="81"/>
      <c r="AQ19" s="81">
        <f t="shared" ref="AQ19" si="40">AN19+AO19+AP19</f>
        <v>4.303976778E-4</v>
      </c>
      <c r="AR19" s="65"/>
      <c r="AT19" s="504"/>
      <c r="AU19" s="101"/>
      <c r="AV19" s="80" t="s">
        <v>306</v>
      </c>
      <c r="AW19" s="81">
        <v>5.6387633000000004E-6</v>
      </c>
      <c r="AX19" s="81"/>
      <c r="AY19" s="81"/>
      <c r="AZ19" s="81">
        <f t="shared" ref="AZ19" si="41">AW19+AX19+AY19</f>
        <v>5.6387633000000004E-6</v>
      </c>
      <c r="BA19" s="65"/>
      <c r="BC19" s="504"/>
      <c r="BD19" s="101"/>
      <c r="BE19" s="80" t="s">
        <v>306</v>
      </c>
      <c r="BF19" s="81">
        <v>5.9207013999999999E-6</v>
      </c>
      <c r="BG19" s="81"/>
      <c r="BH19" s="81"/>
      <c r="BI19" s="81">
        <f t="shared" ref="BI19" si="42">BF19+BG19+BH19</f>
        <v>5.9207013999999999E-6</v>
      </c>
      <c r="BJ19" s="65"/>
      <c r="BL19" s="504"/>
      <c r="BM19" s="101"/>
      <c r="BN19" s="80" t="s">
        <v>306</v>
      </c>
      <c r="BO19" s="81">
        <v>1.8795877E-6</v>
      </c>
      <c r="BP19" s="81"/>
      <c r="BQ19" s="81"/>
      <c r="BR19" s="81">
        <f t="shared" ref="BR19" si="43">BO19+BP19+BQ19</f>
        <v>1.8795877E-6</v>
      </c>
      <c r="BS19" s="65"/>
      <c r="BU19" s="504"/>
      <c r="BV19" s="101"/>
      <c r="BW19" s="80" t="s">
        <v>306</v>
      </c>
      <c r="BX19" s="81">
        <v>3.7591755E-6</v>
      </c>
      <c r="BY19" s="81"/>
      <c r="BZ19" s="81"/>
      <c r="CA19" s="81">
        <f t="shared" ref="CA19" si="44">BX19+BY19+BZ19</f>
        <v>3.7591755E-6</v>
      </c>
      <c r="CB19" s="65"/>
      <c r="CD19" s="504"/>
      <c r="CE19" s="101"/>
      <c r="CF19" s="80" t="s">
        <v>306</v>
      </c>
      <c r="CG19" s="81">
        <v>4.5844194000000001E-5</v>
      </c>
      <c r="CH19" s="81"/>
      <c r="CI19" s="81"/>
      <c r="CJ19" s="81">
        <f t="shared" ref="CJ19" si="45">CG19+CH19+CI19</f>
        <v>4.5844194000000001E-5</v>
      </c>
      <c r="CK19" s="65"/>
      <c r="CM19" s="517"/>
      <c r="CN19" s="390"/>
      <c r="CO19" s="381" t="s">
        <v>306</v>
      </c>
      <c r="CP19" s="382">
        <f>HLOOKUP($CP$2,D$3:CK$106,17,FALSE)</f>
        <v>3.7591755E-6</v>
      </c>
      <c r="CQ19" s="382">
        <f>HLOOKUP($CQ$2,D$3:CK$106,17,FALSE)</f>
        <v>0</v>
      </c>
      <c r="CR19" s="382">
        <f>HLOOKUP($CR$2,D$3:CK$106,17,FALSE)</f>
        <v>0</v>
      </c>
      <c r="CS19" s="382">
        <f>HLOOKUP($CS$2,D$3:CK$106,17,FALSE)</f>
        <v>3.7591755E-6</v>
      </c>
      <c r="CT19" s="370"/>
    </row>
    <row r="20" spans="1:98" ht="18" x14ac:dyDescent="0.35">
      <c r="A20" s="102"/>
      <c r="B20" s="90"/>
      <c r="C20" s="80" t="s">
        <v>312</v>
      </c>
      <c r="D20" s="81" t="s">
        <v>19</v>
      </c>
      <c r="E20" s="81" t="s">
        <v>19</v>
      </c>
      <c r="F20" s="81" t="s">
        <v>19</v>
      </c>
      <c r="G20" s="81" t="s">
        <v>19</v>
      </c>
      <c r="H20" s="65"/>
      <c r="J20" s="102"/>
      <c r="K20" s="90"/>
      <c r="L20" s="80" t="s">
        <v>312</v>
      </c>
      <c r="M20" s="81" t="s">
        <v>19</v>
      </c>
      <c r="N20" s="81" t="s">
        <v>19</v>
      </c>
      <c r="O20" s="81" t="s">
        <v>19</v>
      </c>
      <c r="P20" s="81" t="s">
        <v>19</v>
      </c>
      <c r="Q20" s="65"/>
      <c r="S20" s="102"/>
      <c r="T20" s="90"/>
      <c r="U20" s="80" t="s">
        <v>312</v>
      </c>
      <c r="V20" s="81" t="s">
        <v>19</v>
      </c>
      <c r="W20" s="81" t="s">
        <v>19</v>
      </c>
      <c r="X20" s="81" t="s">
        <v>19</v>
      </c>
      <c r="Y20" s="81" t="s">
        <v>19</v>
      </c>
      <c r="Z20" s="65"/>
      <c r="AB20" s="102"/>
      <c r="AC20" s="90"/>
      <c r="AD20" s="80" t="s">
        <v>312</v>
      </c>
      <c r="AE20" s="81" t="s">
        <v>19</v>
      </c>
      <c r="AF20" s="81" t="s">
        <v>19</v>
      </c>
      <c r="AG20" s="81" t="s">
        <v>19</v>
      </c>
      <c r="AH20" s="81" t="s">
        <v>19</v>
      </c>
      <c r="AI20" s="65"/>
      <c r="AK20" s="102"/>
      <c r="AL20" s="90"/>
      <c r="AM20" s="80" t="s">
        <v>312</v>
      </c>
      <c r="AN20" s="81" t="s">
        <v>19</v>
      </c>
      <c r="AO20" s="81" t="s">
        <v>19</v>
      </c>
      <c r="AP20" s="81" t="s">
        <v>19</v>
      </c>
      <c r="AQ20" s="81" t="s">
        <v>19</v>
      </c>
      <c r="AR20" s="65"/>
      <c r="AT20" s="102"/>
      <c r="AU20" s="90"/>
      <c r="AV20" s="80" t="s">
        <v>312</v>
      </c>
      <c r="AW20" s="81" t="s">
        <v>19</v>
      </c>
      <c r="AX20" s="81" t="s">
        <v>19</v>
      </c>
      <c r="AY20" s="81" t="s">
        <v>19</v>
      </c>
      <c r="AZ20" s="81" t="s">
        <v>19</v>
      </c>
      <c r="BA20" s="65"/>
      <c r="BC20" s="102"/>
      <c r="BD20" s="90"/>
      <c r="BE20" s="80" t="s">
        <v>312</v>
      </c>
      <c r="BF20" s="81" t="s">
        <v>19</v>
      </c>
      <c r="BG20" s="81" t="s">
        <v>19</v>
      </c>
      <c r="BH20" s="81" t="s">
        <v>19</v>
      </c>
      <c r="BI20" s="81" t="s">
        <v>19</v>
      </c>
      <c r="BJ20" s="65"/>
      <c r="BL20" s="102"/>
      <c r="BM20" s="90"/>
      <c r="BN20" s="80" t="s">
        <v>312</v>
      </c>
      <c r="BO20" s="81" t="s">
        <v>19</v>
      </c>
      <c r="BP20" s="81" t="s">
        <v>19</v>
      </c>
      <c r="BQ20" s="81" t="s">
        <v>19</v>
      </c>
      <c r="BR20" s="81" t="s">
        <v>19</v>
      </c>
      <c r="BS20" s="65"/>
      <c r="BU20" s="102"/>
      <c r="BV20" s="90"/>
      <c r="BW20" s="80" t="s">
        <v>312</v>
      </c>
      <c r="BX20" s="81" t="s">
        <v>19</v>
      </c>
      <c r="BY20" s="81" t="s">
        <v>19</v>
      </c>
      <c r="BZ20" s="81" t="s">
        <v>19</v>
      </c>
      <c r="CA20" s="81" t="s">
        <v>19</v>
      </c>
      <c r="CB20" s="65"/>
      <c r="CD20" s="102"/>
      <c r="CE20" s="90"/>
      <c r="CF20" s="80" t="s">
        <v>312</v>
      </c>
      <c r="CG20" s="81" t="s">
        <v>19</v>
      </c>
      <c r="CH20" s="81" t="s">
        <v>19</v>
      </c>
      <c r="CI20" s="81" t="s">
        <v>19</v>
      </c>
      <c r="CJ20" s="81" t="s">
        <v>19</v>
      </c>
      <c r="CK20" s="65"/>
      <c r="CM20" s="391"/>
      <c r="CN20" s="386"/>
      <c r="CO20" s="381" t="s">
        <v>312</v>
      </c>
      <c r="CP20" s="382" t="str">
        <f>HLOOKUP($CP$2,D$3:CK$106,18,FALSE)</f>
        <v>x</v>
      </c>
      <c r="CQ20" s="382" t="str">
        <f>HLOOKUP($CQ$2,D$3:CK$106,18,FALSE)</f>
        <v>x</v>
      </c>
      <c r="CR20" s="382" t="str">
        <f>HLOOKUP($CR$2,D$3:CK$106,18,FALSE)</f>
        <v>x</v>
      </c>
      <c r="CS20" s="382" t="str">
        <f>HLOOKUP($CS$2,D$3:CK$106,18,FALSE)</f>
        <v>x</v>
      </c>
      <c r="CT20" s="370"/>
    </row>
    <row r="21" spans="1:98" ht="18" x14ac:dyDescent="0.35">
      <c r="A21" s="65"/>
      <c r="B21" s="90"/>
      <c r="C21" s="80" t="s">
        <v>314</v>
      </c>
      <c r="D21" s="81" t="s">
        <v>19</v>
      </c>
      <c r="E21" s="81" t="s">
        <v>19</v>
      </c>
      <c r="F21" s="81" t="s">
        <v>19</v>
      </c>
      <c r="G21" s="81" t="s">
        <v>19</v>
      </c>
      <c r="H21" s="65"/>
      <c r="J21" s="65"/>
      <c r="K21" s="90"/>
      <c r="L21" s="80" t="s">
        <v>314</v>
      </c>
      <c r="M21" s="81" t="s">
        <v>19</v>
      </c>
      <c r="N21" s="81" t="s">
        <v>19</v>
      </c>
      <c r="O21" s="81" t="s">
        <v>19</v>
      </c>
      <c r="P21" s="81" t="s">
        <v>19</v>
      </c>
      <c r="Q21" s="65"/>
      <c r="S21" s="65"/>
      <c r="T21" s="90"/>
      <c r="U21" s="80" t="s">
        <v>314</v>
      </c>
      <c r="V21" s="81" t="s">
        <v>19</v>
      </c>
      <c r="W21" s="81" t="s">
        <v>19</v>
      </c>
      <c r="X21" s="81" t="s">
        <v>19</v>
      </c>
      <c r="Y21" s="81" t="s">
        <v>19</v>
      </c>
      <c r="Z21" s="65"/>
      <c r="AB21" s="65"/>
      <c r="AC21" s="90"/>
      <c r="AD21" s="80" t="s">
        <v>314</v>
      </c>
      <c r="AE21" s="81" t="s">
        <v>19</v>
      </c>
      <c r="AF21" s="81" t="s">
        <v>19</v>
      </c>
      <c r="AG21" s="81" t="s">
        <v>19</v>
      </c>
      <c r="AH21" s="81" t="s">
        <v>19</v>
      </c>
      <c r="AI21" s="65"/>
      <c r="AK21" s="65"/>
      <c r="AL21" s="90"/>
      <c r="AM21" s="80" t="s">
        <v>314</v>
      </c>
      <c r="AN21" s="81" t="s">
        <v>19</v>
      </c>
      <c r="AO21" s="81" t="s">
        <v>19</v>
      </c>
      <c r="AP21" s="81" t="s">
        <v>19</v>
      </c>
      <c r="AQ21" s="81" t="s">
        <v>19</v>
      </c>
      <c r="AR21" s="65"/>
      <c r="AT21" s="65"/>
      <c r="AU21" s="90"/>
      <c r="AV21" s="80" t="s">
        <v>314</v>
      </c>
      <c r="AW21" s="81" t="s">
        <v>19</v>
      </c>
      <c r="AX21" s="81" t="s">
        <v>19</v>
      </c>
      <c r="AY21" s="81" t="s">
        <v>19</v>
      </c>
      <c r="AZ21" s="81" t="s">
        <v>19</v>
      </c>
      <c r="BA21" s="65"/>
      <c r="BC21" s="65"/>
      <c r="BD21" s="90"/>
      <c r="BE21" s="80" t="s">
        <v>314</v>
      </c>
      <c r="BF21" s="81" t="s">
        <v>19</v>
      </c>
      <c r="BG21" s="81" t="s">
        <v>19</v>
      </c>
      <c r="BH21" s="81" t="s">
        <v>19</v>
      </c>
      <c r="BI21" s="81" t="s">
        <v>19</v>
      </c>
      <c r="BJ21" s="65"/>
      <c r="BL21" s="65"/>
      <c r="BM21" s="90"/>
      <c r="BN21" s="80" t="s">
        <v>314</v>
      </c>
      <c r="BO21" s="81" t="s">
        <v>19</v>
      </c>
      <c r="BP21" s="81" t="s">
        <v>19</v>
      </c>
      <c r="BQ21" s="81" t="s">
        <v>19</v>
      </c>
      <c r="BR21" s="81" t="s">
        <v>19</v>
      </c>
      <c r="BS21" s="65"/>
      <c r="BU21" s="65"/>
      <c r="BV21" s="90"/>
      <c r="BW21" s="80" t="s">
        <v>314</v>
      </c>
      <c r="BX21" s="81" t="s">
        <v>19</v>
      </c>
      <c r="BY21" s="81" t="s">
        <v>19</v>
      </c>
      <c r="BZ21" s="81" t="s">
        <v>19</v>
      </c>
      <c r="CA21" s="81" t="s">
        <v>19</v>
      </c>
      <c r="CB21" s="65"/>
      <c r="CD21" s="65"/>
      <c r="CE21" s="90"/>
      <c r="CF21" s="80" t="s">
        <v>314</v>
      </c>
      <c r="CG21" s="81" t="s">
        <v>19</v>
      </c>
      <c r="CH21" s="81" t="s">
        <v>19</v>
      </c>
      <c r="CI21" s="81" t="s">
        <v>19</v>
      </c>
      <c r="CJ21" s="81" t="s">
        <v>19</v>
      </c>
      <c r="CK21" s="65"/>
      <c r="CM21" s="370"/>
      <c r="CN21" s="386"/>
      <c r="CO21" s="381" t="s">
        <v>314</v>
      </c>
      <c r="CP21" s="382" t="str">
        <f>HLOOKUP($CP$2,D$3:CK$106,19,FALSE)</f>
        <v>x</v>
      </c>
      <c r="CQ21" s="382" t="str">
        <f>HLOOKUP($CQ$2,D$3:CK$106,19,FALSE)</f>
        <v>x</v>
      </c>
      <c r="CR21" s="382" t="str">
        <f>HLOOKUP($CR$2,D$3:CK$106,19,FALSE)</f>
        <v>x</v>
      </c>
      <c r="CS21" s="382" t="str">
        <f>HLOOKUP($CS$2,D$3:CK$106,19,FALSE)</f>
        <v>x</v>
      </c>
      <c r="CT21" s="370"/>
    </row>
    <row r="22" spans="1:98" ht="18" x14ac:dyDescent="0.35">
      <c r="A22" s="65"/>
      <c r="B22" s="90"/>
      <c r="C22" s="80" t="s">
        <v>320</v>
      </c>
      <c r="D22" s="358" t="e">
        <f>HLOOKUP($B$1,DGbaseF2V!$A$76:$S$92,5,0)*$B$2</f>
        <v>#N/A</v>
      </c>
      <c r="E22" s="81"/>
      <c r="F22" s="81"/>
      <c r="G22" s="81" t="e">
        <f t="shared" si="36"/>
        <v>#N/A</v>
      </c>
      <c r="H22" s="65"/>
      <c r="J22" s="65"/>
      <c r="K22" s="90"/>
      <c r="L22" s="80" t="s">
        <v>320</v>
      </c>
      <c r="M22" s="358" t="e">
        <f>HLOOKUP(K$1,DGbaseF2V!$A$76:$S$92,5,0)*K$2</f>
        <v>#N/A</v>
      </c>
      <c r="N22" s="81"/>
      <c r="O22" s="81"/>
      <c r="P22" s="81" t="e">
        <f t="shared" si="37"/>
        <v>#N/A</v>
      </c>
      <c r="Q22" s="65"/>
      <c r="S22" s="65"/>
      <c r="T22" s="90"/>
      <c r="U22" s="80" t="s">
        <v>320</v>
      </c>
      <c r="V22" s="81" t="e">
        <f>HLOOKUP(T$1,DGbaseF2V!$A$76:$S$92,5,0)*T$2</f>
        <v>#N/A</v>
      </c>
      <c r="W22" s="81"/>
      <c r="X22" s="81"/>
      <c r="Y22" s="81" t="e">
        <f t="shared" ref="Y22:Y24" si="46">V22+W22+X22</f>
        <v>#N/A</v>
      </c>
      <c r="Z22" s="65"/>
      <c r="AB22" s="65"/>
      <c r="AC22" s="90"/>
      <c r="AD22" s="80" t="s">
        <v>320</v>
      </c>
      <c r="AE22" s="358" t="e">
        <f>HLOOKUP(AC$1,DGbaseF2V!$A$76:$S$92,5,0)*AC$2</f>
        <v>#N/A</v>
      </c>
      <c r="AF22" s="81"/>
      <c r="AG22" s="81"/>
      <c r="AH22" s="81" t="e">
        <f t="shared" ref="AH22:AH24" si="47">AE22+AF22+AG22</f>
        <v>#N/A</v>
      </c>
      <c r="AI22" s="65"/>
      <c r="AK22" s="65"/>
      <c r="AL22" s="90"/>
      <c r="AM22" s="80" t="s">
        <v>320</v>
      </c>
      <c r="AN22" s="358" t="e">
        <f>HLOOKUP(AL$1,DGbaseF2V!$A$76:$S$92,5,0)*AL$2</f>
        <v>#N/A</v>
      </c>
      <c r="AO22" s="81"/>
      <c r="AP22" s="81"/>
      <c r="AQ22" s="81" t="e">
        <f t="shared" ref="AQ22:AQ24" si="48">AN22+AO22+AP22</f>
        <v>#N/A</v>
      </c>
      <c r="AR22" s="65"/>
      <c r="AT22" s="65"/>
      <c r="AU22" s="90"/>
      <c r="AV22" s="80" t="s">
        <v>320</v>
      </c>
      <c r="AW22" s="358" t="e">
        <f>HLOOKUP(AU$1,DGbaseF2V!$A$76:$S$92,5,0)*AU$2</f>
        <v>#N/A</v>
      </c>
      <c r="AX22" s="81"/>
      <c r="AY22" s="81"/>
      <c r="AZ22" s="81" t="e">
        <f t="shared" ref="AZ22:AZ24" si="49">AW22+AX22+AY22</f>
        <v>#N/A</v>
      </c>
      <c r="BA22" s="65"/>
      <c r="BC22" s="65"/>
      <c r="BD22" s="90"/>
      <c r="BE22" s="80" t="s">
        <v>320</v>
      </c>
      <c r="BF22" s="358" t="e">
        <f>HLOOKUP(BD$1,DGbaseF2V!$A$76:$S$92,5,0)*BD$2</f>
        <v>#N/A</v>
      </c>
      <c r="BG22" s="81"/>
      <c r="BH22" s="81"/>
      <c r="BI22" s="81" t="e">
        <f t="shared" ref="BI22:BI24" si="50">BF22+BG22+BH22</f>
        <v>#N/A</v>
      </c>
      <c r="BJ22" s="65"/>
      <c r="BL22" s="65"/>
      <c r="BM22" s="90"/>
      <c r="BN22" s="80" t="s">
        <v>320</v>
      </c>
      <c r="BO22" s="358" t="e">
        <f>HLOOKUP(BM$1,DGbaseF2V!$A$76:$S$92,5,0)*BM$2</f>
        <v>#N/A</v>
      </c>
      <c r="BP22" s="81"/>
      <c r="BQ22" s="81"/>
      <c r="BR22" s="81" t="e">
        <f t="shared" ref="BR22:BR24" si="51">BO22+BP22+BQ22</f>
        <v>#N/A</v>
      </c>
      <c r="BS22" s="65"/>
      <c r="BU22" s="65"/>
      <c r="BV22" s="90"/>
      <c r="BW22" s="80" t="s">
        <v>320</v>
      </c>
      <c r="BX22" s="358" t="e">
        <f>HLOOKUP(BV$1,DGbaseF2V!$A$76:$S$92,5,0)*BV$2</f>
        <v>#N/A</v>
      </c>
      <c r="BY22" s="81"/>
      <c r="BZ22" s="81"/>
      <c r="CA22" s="81" t="e">
        <f t="shared" ref="CA22:CA24" si="52">BX22+BY22+BZ22</f>
        <v>#N/A</v>
      </c>
      <c r="CB22" s="65"/>
      <c r="CD22" s="65"/>
      <c r="CE22" s="90"/>
      <c r="CF22" s="80" t="s">
        <v>320</v>
      </c>
      <c r="CG22" s="358" t="e">
        <f>HLOOKUP(CE$1,DGbaseF2V!$A$76:$S$92,5,0)*CE$2</f>
        <v>#N/A</v>
      </c>
      <c r="CH22" s="81"/>
      <c r="CI22" s="81"/>
      <c r="CJ22" s="81" t="e">
        <f t="shared" ref="CJ22:CJ24" si="53">CG22+CH22+CI22</f>
        <v>#N/A</v>
      </c>
      <c r="CK22" s="65"/>
      <c r="CM22" s="370"/>
      <c r="CN22" s="386"/>
      <c r="CO22" s="381" t="s">
        <v>320</v>
      </c>
      <c r="CP22" s="382" t="e">
        <f>HLOOKUP($CP$2,D$3:CK$106,20,FALSE)</f>
        <v>#N/A</v>
      </c>
      <c r="CQ22" s="382">
        <f>HLOOKUP($CQ$2,D$3:CK$106,20,FALSE)</f>
        <v>0</v>
      </c>
      <c r="CR22" s="382">
        <f>HLOOKUP($CR$2,D$3:CK$106,20,FALSE)</f>
        <v>0</v>
      </c>
      <c r="CS22" s="382" t="e">
        <f>HLOOKUP($CS$2,D$3:CK$106,20,FALSE)</f>
        <v>#N/A</v>
      </c>
      <c r="CT22" s="370"/>
    </row>
    <row r="23" spans="1:98" ht="18" x14ac:dyDescent="0.35">
      <c r="A23" s="65"/>
      <c r="B23" s="90"/>
      <c r="C23" s="80" t="s">
        <v>337</v>
      </c>
      <c r="D23" s="358">
        <f>HLOOKUP($B$1,DGbaseF2V!$A$58:$S$74,5,0)*$B$2</f>
        <v>-3.8428144000000004E-6</v>
      </c>
      <c r="E23" s="81"/>
      <c r="F23" s="81"/>
      <c r="G23" s="81">
        <f t="shared" si="36"/>
        <v>-3.8428144000000004E-6</v>
      </c>
      <c r="H23" s="65"/>
      <c r="J23" s="65"/>
      <c r="K23" s="90"/>
      <c r="L23" s="80" t="s">
        <v>337</v>
      </c>
      <c r="M23" s="358">
        <f>HLOOKUP(K$1,DGbaseF2V!$A$58:$S$74,5,0)*K$2</f>
        <v>-3.8428144000000004E-6</v>
      </c>
      <c r="N23" s="81"/>
      <c r="O23" s="81"/>
      <c r="P23" s="81">
        <f t="shared" si="37"/>
        <v>-3.8428144000000004E-6</v>
      </c>
      <c r="Q23" s="65"/>
      <c r="S23" s="65"/>
      <c r="T23" s="90"/>
      <c r="U23" s="80" t="s">
        <v>337</v>
      </c>
      <c r="V23" s="81">
        <f>HLOOKUP(T$1,DGbaseF2V!$A$58:$S$74,5,0)*T$2</f>
        <v>-7.8399917200000008E-6</v>
      </c>
      <c r="W23" s="81"/>
      <c r="X23" s="81"/>
      <c r="Y23" s="81">
        <f t="shared" si="46"/>
        <v>-7.8399917200000008E-6</v>
      </c>
      <c r="Z23" s="65"/>
      <c r="AB23" s="65"/>
      <c r="AC23" s="90"/>
      <c r="AD23" s="80" t="s">
        <v>337</v>
      </c>
      <c r="AE23" s="358">
        <f>HLOOKUP(AC$1,DGbaseF2V!$A$58:$S$74,5,0)*AC$2</f>
        <v>-6.4145386799999999E-6</v>
      </c>
      <c r="AF23" s="81"/>
      <c r="AG23" s="81"/>
      <c r="AH23" s="81">
        <f t="shared" si="47"/>
        <v>-6.4145386799999999E-6</v>
      </c>
      <c r="AI23" s="65"/>
      <c r="AK23" s="65"/>
      <c r="AL23" s="90"/>
      <c r="AM23" s="80" t="s">
        <v>337</v>
      </c>
      <c r="AN23" s="358">
        <f>HLOOKUP(AL$1,DGbaseF2V!$A$58:$S$74,5,0)*AL$2</f>
        <v>-3.2663922400000004E-5</v>
      </c>
      <c r="AO23" s="81"/>
      <c r="AP23" s="81"/>
      <c r="AQ23" s="81">
        <f t="shared" si="48"/>
        <v>-3.2663922400000004E-5</v>
      </c>
      <c r="AR23" s="65"/>
      <c r="AT23" s="65"/>
      <c r="AU23" s="90"/>
      <c r="AV23" s="80" t="s">
        <v>337</v>
      </c>
      <c r="AW23" s="358">
        <f>HLOOKUP(AU$1,DGbaseF2V!$A$58:$S$74,5,0)*AU$2</f>
        <v>-5.7642216000000002E-6</v>
      </c>
      <c r="AX23" s="81"/>
      <c r="AY23" s="81"/>
      <c r="AZ23" s="81">
        <f t="shared" si="49"/>
        <v>-5.7642216000000002E-6</v>
      </c>
      <c r="BA23" s="65"/>
      <c r="BC23" s="65"/>
      <c r="BD23" s="90"/>
      <c r="BE23" s="80" t="s">
        <v>337</v>
      </c>
      <c r="BF23" s="358">
        <f>HLOOKUP(BD$1,DGbaseF2V!$A$58:$S$74,5,0)*BD$2</f>
        <v>-6.3406437600000003E-6</v>
      </c>
      <c r="BG23" s="81"/>
      <c r="BH23" s="81"/>
      <c r="BI23" s="81">
        <f t="shared" si="50"/>
        <v>-6.3406437600000003E-6</v>
      </c>
      <c r="BJ23" s="65"/>
      <c r="BL23" s="65"/>
      <c r="BM23" s="90"/>
      <c r="BN23" s="80" t="s">
        <v>337</v>
      </c>
      <c r="BO23" s="358">
        <f>HLOOKUP(BM$1,DGbaseF2V!$A$58:$S$74,5,0)*BM$2</f>
        <v>-1.9214072000000002E-6</v>
      </c>
      <c r="BP23" s="81"/>
      <c r="BQ23" s="81"/>
      <c r="BR23" s="81">
        <f t="shared" si="51"/>
        <v>-1.9214072000000002E-6</v>
      </c>
      <c r="BS23" s="65"/>
      <c r="BU23" s="65"/>
      <c r="BV23" s="90"/>
      <c r="BW23" s="80" t="s">
        <v>337</v>
      </c>
      <c r="BX23" s="358">
        <f>HLOOKUP(BV$1,DGbaseF2V!$A$58:$S$74,5,0)*BV$2</f>
        <v>-3.8428144000000004E-6</v>
      </c>
      <c r="BY23" s="81"/>
      <c r="BZ23" s="81"/>
      <c r="CA23" s="81">
        <f t="shared" si="52"/>
        <v>-3.8428144000000004E-6</v>
      </c>
      <c r="CB23" s="65"/>
      <c r="CD23" s="65"/>
      <c r="CE23" s="90"/>
      <c r="CF23" s="80" t="s">
        <v>337</v>
      </c>
      <c r="CG23" s="358">
        <f>HLOOKUP(CE$1,DGbaseF2V!$A$58:$S$74,5,0)*CE$2</f>
        <v>-3.2663922400000004E-6</v>
      </c>
      <c r="CH23" s="81"/>
      <c r="CI23" s="81"/>
      <c r="CJ23" s="81">
        <f t="shared" si="53"/>
        <v>-3.2663922400000004E-6</v>
      </c>
      <c r="CK23" s="65"/>
      <c r="CM23" s="370"/>
      <c r="CN23" s="386"/>
      <c r="CO23" s="381" t="s">
        <v>337</v>
      </c>
      <c r="CP23" s="382">
        <f>HLOOKUP($CP$2,D$3:CK$106,21,FALSE)</f>
        <v>-3.8428144000000004E-6</v>
      </c>
      <c r="CQ23" s="382">
        <f>HLOOKUP($CQ$2,D$3:CK$106,21,FALSE)</f>
        <v>0</v>
      </c>
      <c r="CR23" s="382">
        <f>HLOOKUP($CR$2,D$3:CK$106,21,FALSE)</f>
        <v>0</v>
      </c>
      <c r="CS23" s="382">
        <f>HLOOKUP($CS$2,D$3:CK$106,21,FALSE)</f>
        <v>-3.8428144000000004E-6</v>
      </c>
      <c r="CT23" s="370"/>
    </row>
    <row r="24" spans="1:98" ht="18" x14ac:dyDescent="0.35">
      <c r="A24" s="65"/>
      <c r="B24" s="90"/>
      <c r="C24" s="80" t="s">
        <v>321</v>
      </c>
      <c r="D24" s="358" t="e">
        <f>HLOOKUP($B$1,DGbaseF2V!$A$22:$S$38,5,0)*$B$2</f>
        <v>#N/A</v>
      </c>
      <c r="E24" s="81"/>
      <c r="F24" s="81"/>
      <c r="G24" s="81" t="e">
        <f t="shared" si="36"/>
        <v>#N/A</v>
      </c>
      <c r="H24" s="65"/>
      <c r="J24" s="65"/>
      <c r="K24" s="90"/>
      <c r="L24" s="80" t="s">
        <v>321</v>
      </c>
      <c r="M24" s="358" t="e">
        <f>HLOOKUP(K$1,DGbaseF2V!$A$22:$S$38,5,0)*K$2</f>
        <v>#N/A</v>
      </c>
      <c r="N24" s="81"/>
      <c r="O24" s="81"/>
      <c r="P24" s="81" t="e">
        <f t="shared" si="37"/>
        <v>#N/A</v>
      </c>
      <c r="Q24" s="65"/>
      <c r="S24" s="65"/>
      <c r="T24" s="90"/>
      <c r="U24" s="80" t="s">
        <v>321</v>
      </c>
      <c r="V24" s="358" t="e">
        <f>HLOOKUP(T$1,DGbaseF2V!$A$22:$S$38,5,0)*T$2</f>
        <v>#N/A</v>
      </c>
      <c r="W24" s="81"/>
      <c r="X24" s="81"/>
      <c r="Y24" s="81" t="e">
        <f t="shared" si="46"/>
        <v>#N/A</v>
      </c>
      <c r="Z24" s="65"/>
      <c r="AB24" s="65"/>
      <c r="AC24" s="90"/>
      <c r="AD24" s="80" t="s">
        <v>321</v>
      </c>
      <c r="AE24" s="358" t="e">
        <f>HLOOKUP(AC$1,DGbaseF2V!$A$22:$S$38,5,0)*AC$2</f>
        <v>#N/A</v>
      </c>
      <c r="AF24" s="81"/>
      <c r="AG24" s="81"/>
      <c r="AH24" s="81" t="e">
        <f t="shared" si="47"/>
        <v>#N/A</v>
      </c>
      <c r="AI24" s="65"/>
      <c r="AK24" s="65"/>
      <c r="AL24" s="90"/>
      <c r="AM24" s="80" t="s">
        <v>321</v>
      </c>
      <c r="AN24" s="358" t="e">
        <f>HLOOKUP(AL$1,DGbaseF2V!$A$22:$S$38,5,0)*AL$2</f>
        <v>#N/A</v>
      </c>
      <c r="AO24" s="81"/>
      <c r="AP24" s="81"/>
      <c r="AQ24" s="81" t="e">
        <f t="shared" si="48"/>
        <v>#N/A</v>
      </c>
      <c r="AR24" s="65"/>
      <c r="AT24" s="65"/>
      <c r="AU24" s="90"/>
      <c r="AV24" s="80" t="s">
        <v>321</v>
      </c>
      <c r="AW24" s="358" t="e">
        <f>HLOOKUP(AU$1,DGbaseF2V!$A$22:$S$38,5,0)*AU$2</f>
        <v>#N/A</v>
      </c>
      <c r="AX24" s="81"/>
      <c r="AY24" s="81"/>
      <c r="AZ24" s="81" t="e">
        <f t="shared" si="49"/>
        <v>#N/A</v>
      </c>
      <c r="BA24" s="65"/>
      <c r="BC24" s="65"/>
      <c r="BD24" s="90"/>
      <c r="BE24" s="80" t="s">
        <v>321</v>
      </c>
      <c r="BF24" s="358">
        <f>HLOOKUP(BD$1,DGbaseF2V!$A$22:$S$38,5,0)*BD$2</f>
        <v>3.4313680500000007E-5</v>
      </c>
      <c r="BG24" s="81"/>
      <c r="BH24" s="81"/>
      <c r="BI24" s="81">
        <f t="shared" si="50"/>
        <v>3.4313680500000007E-5</v>
      </c>
      <c r="BJ24" s="65"/>
      <c r="BL24" s="65"/>
      <c r="BM24" s="90"/>
      <c r="BN24" s="80" t="s">
        <v>321</v>
      </c>
      <c r="BO24" s="358">
        <f>HLOOKUP(BM$1,DGbaseF2V!$A$22:$S$38,5,0)*BM$2</f>
        <v>1.0398085000000002E-5</v>
      </c>
      <c r="BP24" s="81"/>
      <c r="BQ24" s="81"/>
      <c r="BR24" s="81">
        <f t="shared" si="51"/>
        <v>1.0398085000000002E-5</v>
      </c>
      <c r="BS24" s="65"/>
      <c r="BU24" s="65"/>
      <c r="BV24" s="90"/>
      <c r="BW24" s="80" t="s">
        <v>321</v>
      </c>
      <c r="BX24" s="358" t="e">
        <f>HLOOKUP(BV$1,DGbaseF2V!$A$22:$S$38,5,0)*BV$2</f>
        <v>#N/A</v>
      </c>
      <c r="BY24" s="81"/>
      <c r="BZ24" s="81"/>
      <c r="CA24" s="81" t="e">
        <f t="shared" si="52"/>
        <v>#N/A</v>
      </c>
      <c r="CB24" s="65"/>
      <c r="CD24" s="65"/>
      <c r="CE24" s="90"/>
      <c r="CF24" s="80" t="s">
        <v>321</v>
      </c>
      <c r="CG24" s="358" t="e">
        <f>HLOOKUP(CE$1,DGbaseF2V!$A$22:$S$38,5,0)*CE$2</f>
        <v>#N/A</v>
      </c>
      <c r="CH24" s="81"/>
      <c r="CI24" s="81"/>
      <c r="CJ24" s="81" t="e">
        <f t="shared" si="53"/>
        <v>#N/A</v>
      </c>
      <c r="CK24" s="65"/>
      <c r="CM24" s="370"/>
      <c r="CN24" s="386"/>
      <c r="CO24" s="381" t="s">
        <v>321</v>
      </c>
      <c r="CP24" s="382" t="e">
        <f>HLOOKUP($CP$2,D$3:CK$106,22,FALSE)</f>
        <v>#N/A</v>
      </c>
      <c r="CQ24" s="382">
        <f>HLOOKUP($CQ$2,D$3:CK$106,22,FALSE)</f>
        <v>0</v>
      </c>
      <c r="CR24" s="382">
        <f>HLOOKUP($CR$2,D$3:CK$106,22,FALSE)</f>
        <v>0</v>
      </c>
      <c r="CS24" s="382" t="e">
        <f>HLOOKUP($CS$2,D$3:CK$106,22,FALSE)</f>
        <v>#N/A</v>
      </c>
      <c r="CT24" s="370"/>
    </row>
    <row r="25" spans="1:98" ht="18" x14ac:dyDescent="0.35">
      <c r="A25" s="65"/>
      <c r="B25" s="90"/>
      <c r="C25" s="80" t="s">
        <v>322</v>
      </c>
      <c r="D25" s="81" t="s">
        <v>19</v>
      </c>
      <c r="E25" s="81" t="s">
        <v>19</v>
      </c>
      <c r="F25" s="81" t="s">
        <v>19</v>
      </c>
      <c r="G25" s="81" t="s">
        <v>19</v>
      </c>
      <c r="H25" s="65"/>
      <c r="J25" s="65"/>
      <c r="K25" s="90"/>
      <c r="L25" s="80" t="s">
        <v>322</v>
      </c>
      <c r="M25" s="81" t="s">
        <v>19</v>
      </c>
      <c r="N25" s="81" t="s">
        <v>19</v>
      </c>
      <c r="O25" s="81" t="s">
        <v>19</v>
      </c>
      <c r="P25" s="81" t="s">
        <v>19</v>
      </c>
      <c r="Q25" s="65"/>
      <c r="S25" s="65"/>
      <c r="T25" s="90"/>
      <c r="U25" s="80" t="s">
        <v>322</v>
      </c>
      <c r="V25" s="81" t="s">
        <v>19</v>
      </c>
      <c r="W25" s="81" t="s">
        <v>19</v>
      </c>
      <c r="X25" s="81" t="s">
        <v>19</v>
      </c>
      <c r="Y25" s="81" t="s">
        <v>19</v>
      </c>
      <c r="Z25" s="65"/>
      <c r="AB25" s="65"/>
      <c r="AC25" s="90"/>
      <c r="AD25" s="80" t="s">
        <v>322</v>
      </c>
      <c r="AE25" s="81" t="s">
        <v>19</v>
      </c>
      <c r="AF25" s="81" t="s">
        <v>19</v>
      </c>
      <c r="AG25" s="81" t="s">
        <v>19</v>
      </c>
      <c r="AH25" s="81" t="s">
        <v>19</v>
      </c>
      <c r="AI25" s="65"/>
      <c r="AK25" s="65"/>
      <c r="AL25" s="90"/>
      <c r="AM25" s="80" t="s">
        <v>322</v>
      </c>
      <c r="AN25" s="81" t="s">
        <v>19</v>
      </c>
      <c r="AO25" s="81" t="s">
        <v>19</v>
      </c>
      <c r="AP25" s="81" t="s">
        <v>19</v>
      </c>
      <c r="AQ25" s="81" t="s">
        <v>19</v>
      </c>
      <c r="AR25" s="65"/>
      <c r="AT25" s="65"/>
      <c r="AU25" s="90"/>
      <c r="AV25" s="80" t="s">
        <v>322</v>
      </c>
      <c r="AW25" s="81" t="s">
        <v>19</v>
      </c>
      <c r="AX25" s="81" t="s">
        <v>19</v>
      </c>
      <c r="AY25" s="81" t="s">
        <v>19</v>
      </c>
      <c r="AZ25" s="81" t="s">
        <v>19</v>
      </c>
      <c r="BA25" s="65"/>
      <c r="BC25" s="65"/>
      <c r="BD25" s="90"/>
      <c r="BE25" s="80" t="s">
        <v>322</v>
      </c>
      <c r="BF25" s="81" t="s">
        <v>19</v>
      </c>
      <c r="BG25" s="81" t="s">
        <v>19</v>
      </c>
      <c r="BH25" s="81" t="s">
        <v>19</v>
      </c>
      <c r="BI25" s="81" t="s">
        <v>19</v>
      </c>
      <c r="BJ25" s="65"/>
      <c r="BL25" s="65"/>
      <c r="BM25" s="90"/>
      <c r="BN25" s="80" t="s">
        <v>322</v>
      </c>
      <c r="BO25" s="81" t="s">
        <v>19</v>
      </c>
      <c r="BP25" s="81" t="s">
        <v>19</v>
      </c>
      <c r="BQ25" s="81" t="s">
        <v>19</v>
      </c>
      <c r="BR25" s="81" t="s">
        <v>19</v>
      </c>
      <c r="BS25" s="65"/>
      <c r="BU25" s="65"/>
      <c r="BV25" s="90"/>
      <c r="BW25" s="80" t="s">
        <v>322</v>
      </c>
      <c r="BX25" s="81" t="s">
        <v>19</v>
      </c>
      <c r="BY25" s="81" t="s">
        <v>19</v>
      </c>
      <c r="BZ25" s="81" t="s">
        <v>19</v>
      </c>
      <c r="CA25" s="81" t="s">
        <v>19</v>
      </c>
      <c r="CB25" s="65"/>
      <c r="CD25" s="65"/>
      <c r="CE25" s="90"/>
      <c r="CF25" s="80" t="s">
        <v>322</v>
      </c>
      <c r="CG25" s="81" t="s">
        <v>19</v>
      </c>
      <c r="CH25" s="81" t="s">
        <v>19</v>
      </c>
      <c r="CI25" s="81" t="s">
        <v>19</v>
      </c>
      <c r="CJ25" s="81" t="s">
        <v>19</v>
      </c>
      <c r="CK25" s="65"/>
      <c r="CM25" s="370"/>
      <c r="CN25" s="386"/>
      <c r="CO25" s="381" t="s">
        <v>322</v>
      </c>
      <c r="CP25" s="382" t="str">
        <f>HLOOKUP($CP$2,D$3:CK$106,23,FALSE)</f>
        <v>x</v>
      </c>
      <c r="CQ25" s="382" t="str">
        <f>HLOOKUP($CQ$2,D$3:CK$106,23,FALSE)</f>
        <v>x</v>
      </c>
      <c r="CR25" s="382" t="str">
        <f>HLOOKUP($CR$2,D$3:CK$106,23,FALSE)</f>
        <v>x</v>
      </c>
      <c r="CS25" s="382" t="str">
        <f>HLOOKUP($CS$2,D$3:CK$106,23,FALSE)</f>
        <v>x</v>
      </c>
      <c r="CT25" s="370"/>
    </row>
    <row r="26" spans="1:98" ht="18" x14ac:dyDescent="0.35">
      <c r="A26" s="65"/>
      <c r="B26" s="90"/>
      <c r="C26" s="80" t="s">
        <v>339</v>
      </c>
      <c r="D26" s="358">
        <f>HLOOKUP($B$1,DGbaseF2V!$A$40:$S$56,5,0)*$B$2</f>
        <v>2.213223E-4</v>
      </c>
      <c r="E26" s="81"/>
      <c r="F26" s="81"/>
      <c r="G26" s="81">
        <f t="shared" si="36"/>
        <v>2.213223E-4</v>
      </c>
      <c r="H26" s="65"/>
      <c r="J26" s="65"/>
      <c r="K26" s="90"/>
      <c r="L26" s="80" t="s">
        <v>339</v>
      </c>
      <c r="M26" s="358">
        <f>HLOOKUP(K$1,DGbaseF2V!$A$40:$S$56,5,0)*K$2</f>
        <v>1.59967978E-4</v>
      </c>
      <c r="N26" s="81"/>
      <c r="O26" s="81"/>
      <c r="P26" s="81">
        <f t="shared" si="37"/>
        <v>1.59967978E-4</v>
      </c>
      <c r="Q26" s="65"/>
      <c r="S26" s="65"/>
      <c r="T26" s="90"/>
      <c r="U26" s="80" t="s">
        <v>339</v>
      </c>
      <c r="V26" s="358">
        <f>HLOOKUP(T$1,DGbaseF2V!$A$40:$S$56,5,0)*T$2</f>
        <v>2.6560389679999998E-4</v>
      </c>
      <c r="W26" s="81"/>
      <c r="X26" s="81"/>
      <c r="Y26" s="81">
        <f t="shared" ref="Y26" si="54">V26+W26+X26</f>
        <v>2.6560389679999998E-4</v>
      </c>
      <c r="Z26" s="65"/>
      <c r="AB26" s="65"/>
      <c r="AC26" s="90"/>
      <c r="AD26" s="80" t="s">
        <v>339</v>
      </c>
      <c r="AE26" s="358">
        <f>HLOOKUP(AC$1,DGbaseF2V!$A$40:$S$56,5,0)*AC$2</f>
        <v>2.1731227919999998E-4</v>
      </c>
      <c r="AF26" s="81"/>
      <c r="AG26" s="81"/>
      <c r="AH26" s="81">
        <f t="shared" ref="AH26" si="55">AE26+AF26+AG26</f>
        <v>2.1731227919999998E-4</v>
      </c>
      <c r="AI26" s="65"/>
      <c r="AK26" s="65"/>
      <c r="AL26" s="90"/>
      <c r="AM26" s="80" t="s">
        <v>339</v>
      </c>
      <c r="AN26" s="358">
        <f>HLOOKUP(AL$1,DGbaseF2V!$A$40:$S$56,5,0)*AL$2</f>
        <v>1.88123955E-3</v>
      </c>
      <c r="AO26" s="81"/>
      <c r="AP26" s="81"/>
      <c r="AQ26" s="81">
        <f t="shared" ref="AQ26" si="56">AN26+AO26+AP26</f>
        <v>1.88123955E-3</v>
      </c>
      <c r="AR26" s="65"/>
      <c r="AT26" s="65"/>
      <c r="AU26" s="90"/>
      <c r="AV26" s="80" t="s">
        <v>339</v>
      </c>
      <c r="AW26" s="358">
        <f>HLOOKUP(AU$1,DGbaseF2V!$A$40:$S$56,5,0)*AU$2</f>
        <v>2.3995196700000001E-4</v>
      </c>
      <c r="AX26" s="81"/>
      <c r="AY26" s="81"/>
      <c r="AZ26" s="81">
        <f t="shared" ref="AZ26" si="57">AW26+AX26+AY26</f>
        <v>2.3995196700000001E-4</v>
      </c>
      <c r="BA26" s="65"/>
      <c r="BC26" s="65"/>
      <c r="BD26" s="90"/>
      <c r="BE26" s="80" t="s">
        <v>339</v>
      </c>
      <c r="BF26" s="358">
        <f>HLOOKUP(BD$1,DGbaseF2V!$A$40:$S$56,5,0)*BD$2</f>
        <v>3.4313680500000007E-5</v>
      </c>
      <c r="BG26" s="81"/>
      <c r="BH26" s="81"/>
      <c r="BI26" s="81">
        <f t="shared" ref="BI26" si="58">BF26+BG26+BH26</f>
        <v>3.4313680500000007E-5</v>
      </c>
      <c r="BJ26" s="65"/>
      <c r="BL26" s="65"/>
      <c r="BM26" s="90"/>
      <c r="BN26" s="80" t="s">
        <v>339</v>
      </c>
      <c r="BO26" s="358">
        <f>HLOOKUP(BM$1,DGbaseF2V!$A$40:$S$56,5,0)*BM$2</f>
        <v>1.0398085000000002E-5</v>
      </c>
      <c r="BP26" s="81"/>
      <c r="BQ26" s="81"/>
      <c r="BR26" s="81">
        <f t="shared" ref="BR26" si="59">BO26+BP26+BQ26</f>
        <v>1.0398085000000002E-5</v>
      </c>
      <c r="BS26" s="65"/>
      <c r="BU26" s="65"/>
      <c r="BV26" s="90"/>
      <c r="BW26" s="80" t="s">
        <v>339</v>
      </c>
      <c r="BX26" s="358">
        <f>HLOOKUP(BV$1,DGbaseF2V!$A$40:$S$56,5,0)*BV$2</f>
        <v>1.59967978E-4</v>
      </c>
      <c r="BY26" s="81"/>
      <c r="BZ26" s="81"/>
      <c r="CA26" s="81">
        <f t="shared" ref="CA26" si="60">BX26+BY26+BZ26</f>
        <v>1.59967978E-4</v>
      </c>
      <c r="CB26" s="65"/>
      <c r="CD26" s="65"/>
      <c r="CE26" s="90"/>
      <c r="CF26" s="80" t="s">
        <v>339</v>
      </c>
      <c r="CG26" s="358">
        <f>HLOOKUP(CE$1,DGbaseF2V!$A$40:$S$56,5,0)*CE$2</f>
        <v>1.8812395500000001E-4</v>
      </c>
      <c r="CH26" s="81"/>
      <c r="CI26" s="81"/>
      <c r="CJ26" s="81">
        <f t="shared" ref="CJ26" si="61">CG26+CH26+CI26</f>
        <v>1.8812395500000001E-4</v>
      </c>
      <c r="CK26" s="65"/>
      <c r="CM26" s="370"/>
      <c r="CN26" s="386"/>
      <c r="CO26" s="381" t="s">
        <v>339</v>
      </c>
      <c r="CP26" s="382">
        <f>HLOOKUP($CP$2,D$3:CK$106,24,FALSE)</f>
        <v>1.59967978E-4</v>
      </c>
      <c r="CQ26" s="382">
        <f>HLOOKUP($CQ$2,D$3:CK$106,24,FALSE)</f>
        <v>0</v>
      </c>
      <c r="CR26" s="382">
        <f>HLOOKUP($CR$2,D$3:CK$106,24,FALSE)</f>
        <v>0</v>
      </c>
      <c r="CS26" s="382">
        <f>HLOOKUP($CS$2,D$3:CK$106,24,FALSE)</f>
        <v>1.59967978E-4</v>
      </c>
      <c r="CT26" s="370"/>
    </row>
    <row r="27" spans="1:98" ht="18" x14ac:dyDescent="0.35">
      <c r="A27" s="65"/>
      <c r="B27" s="90"/>
      <c r="C27" s="85" t="s">
        <v>340</v>
      </c>
      <c r="D27" s="86"/>
      <c r="E27" s="86"/>
      <c r="F27" s="86"/>
      <c r="G27" s="86"/>
      <c r="H27" s="89" t="s">
        <v>341</v>
      </c>
      <c r="J27" s="65"/>
      <c r="K27" s="90"/>
      <c r="L27" s="85" t="s">
        <v>340</v>
      </c>
      <c r="M27" s="86"/>
      <c r="N27" s="86"/>
      <c r="O27" s="86"/>
      <c r="P27" s="86"/>
      <c r="Q27" s="89" t="s">
        <v>341</v>
      </c>
      <c r="S27" s="65"/>
      <c r="T27" s="90"/>
      <c r="U27" s="85" t="s">
        <v>340</v>
      </c>
      <c r="V27" s="86"/>
      <c r="W27" s="86"/>
      <c r="X27" s="86"/>
      <c r="Y27" s="86"/>
      <c r="Z27" s="89" t="s">
        <v>341</v>
      </c>
      <c r="AB27" s="65"/>
      <c r="AC27" s="90"/>
      <c r="AD27" s="85" t="s">
        <v>340</v>
      </c>
      <c r="AE27" s="86"/>
      <c r="AF27" s="86"/>
      <c r="AG27" s="86"/>
      <c r="AH27" s="86"/>
      <c r="AI27" s="89" t="s">
        <v>341</v>
      </c>
      <c r="AK27" s="65"/>
      <c r="AL27" s="90"/>
      <c r="AM27" s="85" t="s">
        <v>340</v>
      </c>
      <c r="AN27" s="86"/>
      <c r="AO27" s="86"/>
      <c r="AP27" s="86"/>
      <c r="AQ27" s="86"/>
      <c r="AR27" s="89" t="s">
        <v>341</v>
      </c>
      <c r="AT27" s="65"/>
      <c r="AU27" s="90"/>
      <c r="AV27" s="85" t="s">
        <v>340</v>
      </c>
      <c r="AW27" s="86"/>
      <c r="AX27" s="86"/>
      <c r="AY27" s="86"/>
      <c r="AZ27" s="86"/>
      <c r="BA27" s="89" t="s">
        <v>341</v>
      </c>
      <c r="BC27" s="65"/>
      <c r="BD27" s="90"/>
      <c r="BE27" s="85" t="s">
        <v>340</v>
      </c>
      <c r="BF27" s="86"/>
      <c r="BG27" s="86"/>
      <c r="BH27" s="86"/>
      <c r="BI27" s="86"/>
      <c r="BJ27" s="89" t="s">
        <v>341</v>
      </c>
      <c r="BL27" s="65"/>
      <c r="BM27" s="90"/>
      <c r="BN27" s="85" t="s">
        <v>340</v>
      </c>
      <c r="BO27" s="86"/>
      <c r="BP27" s="86"/>
      <c r="BQ27" s="86"/>
      <c r="BR27" s="86"/>
      <c r="BS27" s="89" t="s">
        <v>341</v>
      </c>
      <c r="BU27" s="65"/>
      <c r="BV27" s="90"/>
      <c r="BW27" s="85" t="s">
        <v>340</v>
      </c>
      <c r="BX27" s="86"/>
      <c r="BY27" s="86"/>
      <c r="BZ27" s="86"/>
      <c r="CA27" s="86"/>
      <c r="CB27" s="89" t="s">
        <v>341</v>
      </c>
      <c r="CD27" s="65"/>
      <c r="CE27" s="90"/>
      <c r="CF27" s="85" t="s">
        <v>340</v>
      </c>
      <c r="CG27" s="86"/>
      <c r="CH27" s="86"/>
      <c r="CI27" s="86"/>
      <c r="CJ27" s="86"/>
      <c r="CK27" s="89" t="s">
        <v>341</v>
      </c>
      <c r="CM27" s="370"/>
      <c r="CN27" s="386"/>
      <c r="CO27" s="383" t="s">
        <v>340</v>
      </c>
      <c r="CP27" s="382"/>
      <c r="CQ27" s="382"/>
      <c r="CR27" s="382"/>
      <c r="CS27" s="382"/>
      <c r="CT27" s="385" t="s">
        <v>341</v>
      </c>
    </row>
    <row r="28" spans="1:98" ht="18" x14ac:dyDescent="0.35">
      <c r="A28" s="65"/>
      <c r="B28" s="90"/>
      <c r="C28" s="85"/>
      <c r="D28" s="92"/>
      <c r="E28" s="92"/>
      <c r="F28" s="92"/>
      <c r="G28" s="92"/>
      <c r="H28" s="65"/>
      <c r="J28" s="65"/>
      <c r="K28" s="90"/>
      <c r="L28" s="85"/>
      <c r="M28" s="92"/>
      <c r="N28" s="92"/>
      <c r="O28" s="92"/>
      <c r="P28" s="92"/>
      <c r="Q28" s="65"/>
      <c r="S28" s="65"/>
      <c r="T28" s="90"/>
      <c r="U28" s="85"/>
      <c r="V28" s="92"/>
      <c r="W28" s="92"/>
      <c r="X28" s="92"/>
      <c r="Y28" s="92"/>
      <c r="Z28" s="65"/>
      <c r="AB28" s="65"/>
      <c r="AC28" s="90"/>
      <c r="AD28" s="85"/>
      <c r="AE28" s="92"/>
      <c r="AF28" s="92"/>
      <c r="AG28" s="92"/>
      <c r="AH28" s="92"/>
      <c r="AI28" s="65"/>
      <c r="AK28" s="65"/>
      <c r="AL28" s="90"/>
      <c r="AM28" s="85"/>
      <c r="AN28" s="92"/>
      <c r="AO28" s="92"/>
      <c r="AP28" s="92"/>
      <c r="AQ28" s="92"/>
      <c r="AR28" s="65"/>
      <c r="AT28" s="65"/>
      <c r="AU28" s="90"/>
      <c r="AV28" s="85"/>
      <c r="AW28" s="92"/>
      <c r="AX28" s="92"/>
      <c r="AY28" s="92"/>
      <c r="AZ28" s="92"/>
      <c r="BA28" s="65"/>
      <c r="BC28" s="65"/>
      <c r="BD28" s="90"/>
      <c r="BE28" s="85"/>
      <c r="BF28" s="92"/>
      <c r="BG28" s="92"/>
      <c r="BH28" s="92"/>
      <c r="BI28" s="92"/>
      <c r="BJ28" s="65"/>
      <c r="BL28" s="65"/>
      <c r="BM28" s="90"/>
      <c r="BN28" s="85"/>
      <c r="BO28" s="92"/>
      <c r="BP28" s="92"/>
      <c r="BQ28" s="92"/>
      <c r="BR28" s="92"/>
      <c r="BS28" s="65"/>
      <c r="BU28" s="65"/>
      <c r="BV28" s="90"/>
      <c r="BW28" s="85"/>
      <c r="BX28" s="92"/>
      <c r="BY28" s="92"/>
      <c r="BZ28" s="92"/>
      <c r="CA28" s="92"/>
      <c r="CB28" s="65"/>
      <c r="CD28" s="65"/>
      <c r="CE28" s="90"/>
      <c r="CF28" s="85"/>
      <c r="CG28" s="92"/>
      <c r="CH28" s="92"/>
      <c r="CI28" s="92"/>
      <c r="CJ28" s="92"/>
      <c r="CK28" s="65"/>
      <c r="CM28" s="370"/>
      <c r="CN28" s="386"/>
      <c r="CO28" s="383"/>
      <c r="CP28" s="382"/>
      <c r="CQ28" s="382"/>
      <c r="CR28" s="382"/>
      <c r="CS28" s="382"/>
      <c r="CT28" s="370"/>
    </row>
    <row r="29" spans="1:98" ht="18" x14ac:dyDescent="0.35">
      <c r="A29" s="20"/>
      <c r="B29" s="95"/>
      <c r="C29" s="105"/>
      <c r="D29" s="106"/>
      <c r="E29" s="106"/>
      <c r="F29" s="106"/>
      <c r="G29" s="106"/>
      <c r="H29" s="20"/>
      <c r="J29" s="20"/>
      <c r="K29" s="95"/>
      <c r="L29" s="105"/>
      <c r="M29" s="106"/>
      <c r="N29" s="106"/>
      <c r="O29" s="106"/>
      <c r="P29" s="106"/>
      <c r="Q29" s="20"/>
      <c r="S29" s="20"/>
      <c r="T29" s="95"/>
      <c r="U29" s="105"/>
      <c r="V29" s="106"/>
      <c r="W29" s="106"/>
      <c r="X29" s="106"/>
      <c r="Y29" s="106"/>
      <c r="Z29" s="20"/>
      <c r="AB29" s="20"/>
      <c r="AC29" s="95"/>
      <c r="AD29" s="105"/>
      <c r="AE29" s="106"/>
      <c r="AF29" s="106"/>
      <c r="AG29" s="106"/>
      <c r="AH29" s="106"/>
      <c r="AI29" s="20"/>
      <c r="AK29" s="20"/>
      <c r="AL29" s="95"/>
      <c r="AM29" s="105"/>
      <c r="AN29" s="106"/>
      <c r="AO29" s="106"/>
      <c r="AP29" s="106"/>
      <c r="AQ29" s="106"/>
      <c r="AR29" s="20"/>
      <c r="AT29" s="20"/>
      <c r="AU29" s="95"/>
      <c r="AV29" s="105"/>
      <c r="AW29" s="106"/>
      <c r="AX29" s="106"/>
      <c r="AY29" s="106"/>
      <c r="AZ29" s="106"/>
      <c r="BA29" s="20"/>
      <c r="BC29" s="20"/>
      <c r="BD29" s="95"/>
      <c r="BE29" s="105"/>
      <c r="BF29" s="106"/>
      <c r="BG29" s="106"/>
      <c r="BH29" s="106"/>
      <c r="BI29" s="106"/>
      <c r="BJ29" s="20"/>
      <c r="BL29" s="20"/>
      <c r="BM29" s="95"/>
      <c r="BN29" s="105"/>
      <c r="BO29" s="106"/>
      <c r="BP29" s="106"/>
      <c r="BQ29" s="106"/>
      <c r="BR29" s="106"/>
      <c r="BS29" s="20"/>
      <c r="BU29" s="20"/>
      <c r="BV29" s="95"/>
      <c r="BW29" s="105"/>
      <c r="BX29" s="106"/>
      <c r="BY29" s="106"/>
      <c r="BZ29" s="106"/>
      <c r="CA29" s="106"/>
      <c r="CB29" s="20"/>
      <c r="CD29" s="20"/>
      <c r="CE29" s="95"/>
      <c r="CF29" s="105"/>
      <c r="CG29" s="106"/>
      <c r="CH29" s="106"/>
      <c r="CI29" s="106"/>
      <c r="CJ29" s="106"/>
      <c r="CK29" s="20"/>
      <c r="CM29" s="370"/>
      <c r="CN29" s="386"/>
      <c r="CO29" s="383"/>
      <c r="CP29" s="382"/>
      <c r="CQ29" s="382"/>
      <c r="CR29" s="382"/>
      <c r="CS29" s="382"/>
      <c r="CT29" s="370"/>
    </row>
    <row r="30" spans="1:98" ht="18" x14ac:dyDescent="0.3">
      <c r="A30" s="65"/>
      <c r="B30" s="75" t="s">
        <v>329</v>
      </c>
      <c r="C30" s="100" t="s">
        <v>343</v>
      </c>
      <c r="D30" s="77"/>
      <c r="E30" s="77"/>
      <c r="F30" s="77"/>
      <c r="G30" s="77"/>
      <c r="H30" s="65"/>
      <c r="J30" s="65"/>
      <c r="K30" s="75" t="s">
        <v>329</v>
      </c>
      <c r="L30" s="100" t="s">
        <v>343</v>
      </c>
      <c r="M30" s="77"/>
      <c r="N30" s="77"/>
      <c r="O30" s="77"/>
      <c r="P30" s="77"/>
      <c r="Q30" s="65"/>
      <c r="S30" s="65"/>
      <c r="T30" s="75" t="s">
        <v>329</v>
      </c>
      <c r="U30" s="100" t="s">
        <v>343</v>
      </c>
      <c r="V30" s="77"/>
      <c r="W30" s="77"/>
      <c r="X30" s="77"/>
      <c r="Y30" s="77"/>
      <c r="Z30" s="65"/>
      <c r="AB30" s="65"/>
      <c r="AC30" s="75" t="s">
        <v>329</v>
      </c>
      <c r="AD30" s="100" t="s">
        <v>343</v>
      </c>
      <c r="AE30" s="77"/>
      <c r="AF30" s="77"/>
      <c r="AG30" s="77"/>
      <c r="AH30" s="77"/>
      <c r="AI30" s="65"/>
      <c r="AK30" s="65"/>
      <c r="AL30" s="75" t="s">
        <v>329</v>
      </c>
      <c r="AM30" s="100" t="s">
        <v>343</v>
      </c>
      <c r="AN30" s="77"/>
      <c r="AO30" s="77"/>
      <c r="AP30" s="77"/>
      <c r="AQ30" s="77"/>
      <c r="AR30" s="65"/>
      <c r="AT30" s="65"/>
      <c r="AU30" s="75" t="s">
        <v>329</v>
      </c>
      <c r="AV30" s="100" t="s">
        <v>343</v>
      </c>
      <c r="AW30" s="77"/>
      <c r="AX30" s="77"/>
      <c r="AY30" s="77"/>
      <c r="AZ30" s="77"/>
      <c r="BA30" s="65"/>
      <c r="BC30" s="65"/>
      <c r="BD30" s="75" t="s">
        <v>329</v>
      </c>
      <c r="BE30" s="100" t="s">
        <v>343</v>
      </c>
      <c r="BF30" s="77"/>
      <c r="BG30" s="77"/>
      <c r="BH30" s="77"/>
      <c r="BI30" s="77"/>
      <c r="BJ30" s="65"/>
      <c r="BL30" s="65"/>
      <c r="BM30" s="75" t="s">
        <v>329</v>
      </c>
      <c r="BN30" s="100" t="s">
        <v>343</v>
      </c>
      <c r="BO30" s="77"/>
      <c r="BP30" s="77"/>
      <c r="BQ30" s="77"/>
      <c r="BR30" s="77"/>
      <c r="BS30" s="65"/>
      <c r="BU30" s="65"/>
      <c r="BV30" s="75" t="s">
        <v>329</v>
      </c>
      <c r="BW30" s="100" t="s">
        <v>343</v>
      </c>
      <c r="BX30" s="77"/>
      <c r="BY30" s="77"/>
      <c r="BZ30" s="77"/>
      <c r="CA30" s="77"/>
      <c r="CB30" s="65"/>
      <c r="CD30" s="65"/>
      <c r="CE30" s="75" t="s">
        <v>329</v>
      </c>
      <c r="CF30" s="100" t="s">
        <v>343</v>
      </c>
      <c r="CG30" s="77"/>
      <c r="CH30" s="77"/>
      <c r="CI30" s="77"/>
      <c r="CJ30" s="77"/>
      <c r="CK30" s="65"/>
      <c r="CM30" s="370"/>
      <c r="CN30" s="377" t="s">
        <v>329</v>
      </c>
      <c r="CO30" s="389" t="s">
        <v>343</v>
      </c>
      <c r="CP30" s="379">
        <f>IF($CS$3="yes",(SUM(CP31,CP32,CP39)/1),(SUM(CP31:CP37)/1))</f>
        <v>4.9630940429999995E-9</v>
      </c>
      <c r="CQ30" s="379">
        <f>IF($CS$3="yes",(SUM(CQ31,CQ32,CQ39)/1),(SUM(CQ31:CQ37)/1))</f>
        <v>4.7893316000000003E-10</v>
      </c>
      <c r="CR30" s="379">
        <f>IF($CS$3="yes",(SUM(CR31,CR32,CR39)/1),(SUM(CR31:CR37)/1))</f>
        <v>0</v>
      </c>
      <c r="CS30" s="379">
        <f>IF($CS$3="yes",(SUM(CS31,CS32,CS39)/1),(SUM(CS31:CS37)/1))</f>
        <v>5.442027203E-9</v>
      </c>
      <c r="CT30" s="370"/>
    </row>
    <row r="31" spans="1:98" ht="18" x14ac:dyDescent="0.35">
      <c r="A31" s="65"/>
      <c r="B31" s="90"/>
      <c r="C31" s="80" t="s">
        <v>13</v>
      </c>
      <c r="D31" s="81">
        <v>1.06300251E-9</v>
      </c>
      <c r="E31" s="81"/>
      <c r="F31" s="81"/>
      <c r="G31" s="81">
        <f>D31+E31+F31</f>
        <v>1.06300251E-9</v>
      </c>
      <c r="H31" s="65"/>
      <c r="J31" s="65"/>
      <c r="K31" s="90"/>
      <c r="L31" s="80" t="s">
        <v>13</v>
      </c>
      <c r="M31" s="81">
        <v>2.2467915999999999E-9</v>
      </c>
      <c r="N31" s="81">
        <v>7.4893053E-10</v>
      </c>
      <c r="O31" s="81"/>
      <c r="P31" s="81">
        <f>M31+N31+O31</f>
        <v>2.9957221299999998E-9</v>
      </c>
      <c r="Q31" s="65"/>
      <c r="S31" s="65"/>
      <c r="T31" s="90"/>
      <c r="U31" s="80" t="s">
        <v>13</v>
      </c>
      <c r="V31" s="81">
        <v>2.4082693E-11</v>
      </c>
      <c r="W31" s="81"/>
      <c r="X31" s="81"/>
      <c r="Y31" s="81">
        <f>V31+W31+X31</f>
        <v>2.4082693E-11</v>
      </c>
      <c r="Z31" s="65"/>
      <c r="AB31" s="65"/>
      <c r="AC31" s="90"/>
      <c r="AD31" s="80" t="s">
        <v>13</v>
      </c>
      <c r="AE31" s="81">
        <v>1.6055127999999999E-11</v>
      </c>
      <c r="AF31" s="81">
        <v>1.2001767E-10</v>
      </c>
      <c r="AG31" s="81"/>
      <c r="AH31" s="81">
        <f>AE31+AF31+AG31</f>
        <v>1.36072798E-10</v>
      </c>
      <c r="AI31" s="65"/>
      <c r="AK31" s="65"/>
      <c r="AL31" s="90"/>
      <c r="AM31" s="80" t="s">
        <v>13</v>
      </c>
      <c r="AN31" s="81">
        <v>1.8599926000000001E-8</v>
      </c>
      <c r="AO31" s="81">
        <v>1.4978611E-9</v>
      </c>
      <c r="AP31" s="81"/>
      <c r="AQ31" s="81">
        <f>AN31+AO31+AP31</f>
        <v>2.0097787100000002E-8</v>
      </c>
      <c r="AR31" s="65"/>
      <c r="AT31" s="65"/>
      <c r="AU31" s="90"/>
      <c r="AV31" s="80" t="s">
        <v>13</v>
      </c>
      <c r="AW31" s="81">
        <v>4.4935831999999999E-9</v>
      </c>
      <c r="AX31" s="81"/>
      <c r="AY31" s="81"/>
      <c r="AZ31" s="81">
        <f>AW31+AX31+AY31</f>
        <v>4.4935831999999999E-9</v>
      </c>
      <c r="BA31" s="65"/>
      <c r="BC31" s="65"/>
      <c r="BD31" s="90"/>
      <c r="BE31" s="80" t="s">
        <v>13</v>
      </c>
      <c r="BF31" s="81">
        <v>7.2010604000000005E-10</v>
      </c>
      <c r="BG31" s="81">
        <v>4.7893316000000003E-10</v>
      </c>
      <c r="BH31" s="81"/>
      <c r="BI31" s="81">
        <f>BF31+BG31+BH31</f>
        <v>1.1990392000000002E-9</v>
      </c>
      <c r="BJ31" s="65"/>
      <c r="BL31" s="65"/>
      <c r="BM31" s="90"/>
      <c r="BN31" s="80" t="s">
        <v>13</v>
      </c>
      <c r="BO31" s="81">
        <v>2.4003535E-10</v>
      </c>
      <c r="BP31" s="81"/>
      <c r="BQ31" s="81"/>
      <c r="BR31" s="81">
        <f>BO31+BP31+BQ31</f>
        <v>2.4003535E-10</v>
      </c>
      <c r="BS31" s="65"/>
      <c r="BU31" s="65"/>
      <c r="BV31" s="90"/>
      <c r="BW31" s="80" t="s">
        <v>13</v>
      </c>
      <c r="BX31" s="81">
        <v>2.9957220999999999E-9</v>
      </c>
      <c r="BY31" s="81">
        <f>BG31</f>
        <v>4.7893316000000003E-10</v>
      </c>
      <c r="BZ31" s="81"/>
      <c r="CA31" s="81">
        <f>BX31+BY31+BZ31</f>
        <v>3.4746552600000001E-9</v>
      </c>
      <c r="CB31" s="65"/>
      <c r="CD31" s="65"/>
      <c r="CE31" s="90"/>
      <c r="CF31" s="80" t="s">
        <v>13</v>
      </c>
      <c r="CG31" s="81">
        <v>8.7519247E-10</v>
      </c>
      <c r="CH31" s="81">
        <v>3.9911096000000002E-10</v>
      </c>
      <c r="CI31" s="81"/>
      <c r="CJ31" s="81">
        <f>CG31+CH31+CI31</f>
        <v>1.27430343E-9</v>
      </c>
      <c r="CK31" s="65"/>
      <c r="CM31" s="370"/>
      <c r="CN31" s="386"/>
      <c r="CO31" s="381" t="s">
        <v>13</v>
      </c>
      <c r="CP31" s="382">
        <f>HLOOKUP($CP$2,D$3:CK$106,29,FALSE)</f>
        <v>2.9957220999999999E-9</v>
      </c>
      <c r="CQ31" s="382">
        <f>HLOOKUP($CQ$2,D$3:CK$106,29,FALSE)</f>
        <v>4.7893316000000003E-10</v>
      </c>
      <c r="CR31" s="382">
        <f>HLOOKUP($CR$2,D$3:CK$106,29,FALSE)</f>
        <v>0</v>
      </c>
      <c r="CS31" s="382">
        <f>HLOOKUP($CS$2,D$3:CK$106,29,FALSE)</f>
        <v>3.4746552600000001E-9</v>
      </c>
      <c r="CT31" s="370"/>
    </row>
    <row r="32" spans="1:98" ht="18" x14ac:dyDescent="0.35">
      <c r="A32" s="65"/>
      <c r="B32" s="90"/>
      <c r="C32" s="80" t="s">
        <v>306</v>
      </c>
      <c r="D32" s="81">
        <v>8.8160123000000004E-10</v>
      </c>
      <c r="E32" s="81"/>
      <c r="F32" s="81"/>
      <c r="G32" s="81">
        <f t="shared" ref="G32:G39" si="62">D32+E32+F32</f>
        <v>8.8160123000000004E-10</v>
      </c>
      <c r="H32" s="65"/>
      <c r="J32" s="65"/>
      <c r="K32" s="90"/>
      <c r="L32" s="80" t="s">
        <v>306</v>
      </c>
      <c r="M32" s="81">
        <v>3.5445091000000001E-11</v>
      </c>
      <c r="N32" s="81">
        <v>1.1731826E-11</v>
      </c>
      <c r="O32" s="81"/>
      <c r="P32" s="81">
        <f t="shared" ref="P32:P39" si="63">M32+N32+O32</f>
        <v>4.7176917000000003E-11</v>
      </c>
      <c r="Q32" s="65"/>
      <c r="S32" s="65"/>
      <c r="T32" s="90"/>
      <c r="U32" s="80" t="s">
        <v>306</v>
      </c>
      <c r="V32" s="81">
        <v>7.7879353000000001E-11</v>
      </c>
      <c r="W32" s="81"/>
      <c r="X32" s="81"/>
      <c r="Y32" s="81">
        <f t="shared" ref="Y32" si="64">V32+W32+X32</f>
        <v>7.7879353000000001E-11</v>
      </c>
      <c r="Z32" s="65"/>
      <c r="AB32" s="65"/>
      <c r="AC32" s="90"/>
      <c r="AD32" s="80" t="s">
        <v>306</v>
      </c>
      <c r="AE32" s="81">
        <v>5.2418796000000001E-11</v>
      </c>
      <c r="AF32" s="81">
        <v>1.1731826E-11</v>
      </c>
      <c r="AG32" s="81"/>
      <c r="AH32" s="81">
        <f t="shared" ref="AH32" si="65">AE32+AF32+AG32</f>
        <v>6.4150622000000003E-11</v>
      </c>
      <c r="AI32" s="65"/>
      <c r="AK32" s="65"/>
      <c r="AL32" s="90"/>
      <c r="AM32" s="80" t="s">
        <v>306</v>
      </c>
      <c r="AN32" s="81">
        <v>5.6290514000000002E-9</v>
      </c>
      <c r="AO32" s="81">
        <v>2.4961331E-11</v>
      </c>
      <c r="AP32" s="81"/>
      <c r="AQ32" s="81">
        <f t="shared" ref="AQ32" si="66">AN32+AO32+AP32</f>
        <v>5.6540127310000001E-9</v>
      </c>
      <c r="AR32" s="65"/>
      <c r="AT32" s="65"/>
      <c r="AU32" s="90"/>
      <c r="AV32" s="80" t="s">
        <v>306</v>
      </c>
      <c r="AW32" s="81">
        <v>7.4883993999999996E-11</v>
      </c>
      <c r="AX32" s="81"/>
      <c r="AY32" s="81"/>
      <c r="AZ32" s="81">
        <f t="shared" ref="AZ32" si="67">AW32+AX32+AY32</f>
        <v>7.4883993999999996E-11</v>
      </c>
      <c r="BA32" s="65"/>
      <c r="BC32" s="65"/>
      <c r="BD32" s="90"/>
      <c r="BE32" s="80" t="s">
        <v>306</v>
      </c>
      <c r="BF32" s="81">
        <v>7.8628193000000001E-11</v>
      </c>
      <c r="BG32" s="81"/>
      <c r="BH32" s="81"/>
      <c r="BI32" s="81">
        <f t="shared" ref="BI32" si="68">BF32+BG32+BH32</f>
        <v>7.8628193000000001E-11</v>
      </c>
      <c r="BJ32" s="65"/>
      <c r="BL32" s="65"/>
      <c r="BM32" s="90"/>
      <c r="BN32" s="80" t="s">
        <v>306</v>
      </c>
      <c r="BO32" s="81">
        <v>2.4961331E-11</v>
      </c>
      <c r="BP32" s="81"/>
      <c r="BQ32" s="81"/>
      <c r="BR32" s="81">
        <f t="shared" ref="BR32" si="69">BO32+BP32+BQ32</f>
        <v>2.4961331E-11</v>
      </c>
      <c r="BS32" s="65"/>
      <c r="BU32" s="65"/>
      <c r="BV32" s="90"/>
      <c r="BW32" s="80" t="s">
        <v>306</v>
      </c>
      <c r="BX32" s="81">
        <v>4.9922663E-11</v>
      </c>
      <c r="BY32" s="81"/>
      <c r="BZ32" s="81"/>
      <c r="CA32" s="81">
        <f t="shared" ref="CA32" si="70">BX32+BY32+BZ32</f>
        <v>4.9922663E-11</v>
      </c>
      <c r="CB32" s="65"/>
      <c r="CD32" s="65"/>
      <c r="CE32" s="90"/>
      <c r="CF32" s="80" t="s">
        <v>306</v>
      </c>
      <c r="CG32" s="81">
        <v>7.3289740999999996E-10</v>
      </c>
      <c r="CH32" s="81"/>
      <c r="CI32" s="81"/>
      <c r="CJ32" s="81">
        <f t="shared" ref="CJ32" si="71">CG32+CH32+CI32</f>
        <v>7.3289740999999996E-10</v>
      </c>
      <c r="CK32" s="65"/>
      <c r="CM32" s="370"/>
      <c r="CN32" s="386"/>
      <c r="CO32" s="381" t="s">
        <v>306</v>
      </c>
      <c r="CP32" s="382">
        <f>HLOOKUP($CP$2,D$3:CK$106,30,FALSE)</f>
        <v>4.9922663E-11</v>
      </c>
      <c r="CQ32" s="382">
        <f>HLOOKUP($CQ$2,D$3:CK$106,30,FALSE)</f>
        <v>0</v>
      </c>
      <c r="CR32" s="382">
        <f>HLOOKUP($CR$2,D$3:CK$106,30,FALSE)</f>
        <v>0</v>
      </c>
      <c r="CS32" s="382">
        <f>HLOOKUP($CS$2,D$3:CK$106,30,FALSE)</f>
        <v>4.9922663E-11</v>
      </c>
      <c r="CT32" s="370"/>
    </row>
    <row r="33" spans="1:98" ht="18" x14ac:dyDescent="0.35">
      <c r="A33" s="65"/>
      <c r="B33" s="90"/>
      <c r="C33" s="80" t="s">
        <v>312</v>
      </c>
      <c r="D33" s="81" t="s">
        <v>19</v>
      </c>
      <c r="E33" s="81" t="s">
        <v>19</v>
      </c>
      <c r="F33" s="81" t="s">
        <v>19</v>
      </c>
      <c r="G33" s="81" t="s">
        <v>19</v>
      </c>
      <c r="H33" s="65"/>
      <c r="J33" s="65"/>
      <c r="K33" s="90"/>
      <c r="L33" s="80" t="s">
        <v>312</v>
      </c>
      <c r="M33" s="81" t="s">
        <v>19</v>
      </c>
      <c r="N33" s="81" t="s">
        <v>19</v>
      </c>
      <c r="O33" s="81" t="s">
        <v>19</v>
      </c>
      <c r="P33" s="81" t="s">
        <v>19</v>
      </c>
      <c r="Q33" s="65"/>
      <c r="S33" s="65"/>
      <c r="T33" s="90"/>
      <c r="U33" s="80" t="s">
        <v>312</v>
      </c>
      <c r="V33" s="81" t="s">
        <v>19</v>
      </c>
      <c r="W33" s="81" t="s">
        <v>19</v>
      </c>
      <c r="X33" s="81" t="s">
        <v>19</v>
      </c>
      <c r="Y33" s="81" t="s">
        <v>19</v>
      </c>
      <c r="Z33" s="65"/>
      <c r="AB33" s="65"/>
      <c r="AC33" s="90"/>
      <c r="AD33" s="80" t="s">
        <v>312</v>
      </c>
      <c r="AE33" s="81" t="s">
        <v>19</v>
      </c>
      <c r="AF33" s="81" t="s">
        <v>19</v>
      </c>
      <c r="AG33" s="81" t="s">
        <v>19</v>
      </c>
      <c r="AH33" s="81" t="s">
        <v>19</v>
      </c>
      <c r="AI33" s="65"/>
      <c r="AK33" s="65"/>
      <c r="AL33" s="90"/>
      <c r="AM33" s="80" t="s">
        <v>312</v>
      </c>
      <c r="AN33" s="81" t="s">
        <v>19</v>
      </c>
      <c r="AO33" s="81" t="s">
        <v>19</v>
      </c>
      <c r="AP33" s="81" t="s">
        <v>19</v>
      </c>
      <c r="AQ33" s="81" t="s">
        <v>19</v>
      </c>
      <c r="AR33" s="65"/>
      <c r="AT33" s="65"/>
      <c r="AU33" s="90"/>
      <c r="AV33" s="80" t="s">
        <v>312</v>
      </c>
      <c r="AW33" s="81" t="s">
        <v>19</v>
      </c>
      <c r="AX33" s="81" t="s">
        <v>19</v>
      </c>
      <c r="AY33" s="81" t="s">
        <v>19</v>
      </c>
      <c r="AZ33" s="81" t="s">
        <v>19</v>
      </c>
      <c r="BA33" s="65"/>
      <c r="BC33" s="65"/>
      <c r="BD33" s="90"/>
      <c r="BE33" s="80" t="s">
        <v>312</v>
      </c>
      <c r="BF33" s="81" t="s">
        <v>19</v>
      </c>
      <c r="BG33" s="81" t="s">
        <v>19</v>
      </c>
      <c r="BH33" s="81" t="s">
        <v>19</v>
      </c>
      <c r="BI33" s="81" t="s">
        <v>19</v>
      </c>
      <c r="BJ33" s="65"/>
      <c r="BL33" s="65"/>
      <c r="BM33" s="90"/>
      <c r="BN33" s="80" t="s">
        <v>312</v>
      </c>
      <c r="BO33" s="81" t="s">
        <v>19</v>
      </c>
      <c r="BP33" s="81" t="s">
        <v>19</v>
      </c>
      <c r="BQ33" s="81" t="s">
        <v>19</v>
      </c>
      <c r="BR33" s="81" t="s">
        <v>19</v>
      </c>
      <c r="BS33" s="65"/>
      <c r="BU33" s="65"/>
      <c r="BV33" s="90"/>
      <c r="BW33" s="80" t="s">
        <v>312</v>
      </c>
      <c r="BX33" s="81" t="s">
        <v>19</v>
      </c>
      <c r="BY33" s="81" t="s">
        <v>19</v>
      </c>
      <c r="BZ33" s="81" t="s">
        <v>19</v>
      </c>
      <c r="CA33" s="81" t="s">
        <v>19</v>
      </c>
      <c r="CB33" s="65"/>
      <c r="CD33" s="65"/>
      <c r="CE33" s="90"/>
      <c r="CF33" s="80" t="s">
        <v>312</v>
      </c>
      <c r="CG33" s="81" t="s">
        <v>19</v>
      </c>
      <c r="CH33" s="81" t="s">
        <v>19</v>
      </c>
      <c r="CI33" s="81" t="s">
        <v>19</v>
      </c>
      <c r="CJ33" s="81" t="s">
        <v>19</v>
      </c>
      <c r="CK33" s="65"/>
      <c r="CM33" s="370"/>
      <c r="CN33" s="386"/>
      <c r="CO33" s="381" t="s">
        <v>312</v>
      </c>
      <c r="CP33" s="382" t="str">
        <f>HLOOKUP($CP$2,D$3:CK$106,31,FALSE)</f>
        <v>x</v>
      </c>
      <c r="CQ33" s="382" t="str">
        <f>HLOOKUP($CQ$2,D$3:CK$106,31,FALSE)</f>
        <v>x</v>
      </c>
      <c r="CR33" s="382" t="str">
        <f>HLOOKUP($CR$2,D$3:CK$106,31,FALSE)</f>
        <v>x</v>
      </c>
      <c r="CS33" s="382" t="str">
        <f>HLOOKUP($CS$2,D$3:CK$106,31,FALSE)</f>
        <v>x</v>
      </c>
      <c r="CT33" s="370"/>
    </row>
    <row r="34" spans="1:98" ht="18" x14ac:dyDescent="0.35">
      <c r="A34" s="65"/>
      <c r="B34" s="90"/>
      <c r="C34" s="80" t="s">
        <v>314</v>
      </c>
      <c r="D34" s="81" t="s">
        <v>19</v>
      </c>
      <c r="E34" s="81" t="s">
        <v>19</v>
      </c>
      <c r="F34" s="81" t="s">
        <v>19</v>
      </c>
      <c r="G34" s="81" t="s">
        <v>19</v>
      </c>
      <c r="H34" s="65"/>
      <c r="J34" s="65"/>
      <c r="K34" s="90"/>
      <c r="L34" s="80" t="s">
        <v>314</v>
      </c>
      <c r="M34" s="81" t="s">
        <v>19</v>
      </c>
      <c r="N34" s="81" t="s">
        <v>19</v>
      </c>
      <c r="O34" s="81" t="s">
        <v>19</v>
      </c>
      <c r="P34" s="81" t="s">
        <v>19</v>
      </c>
      <c r="Q34" s="65"/>
      <c r="S34" s="65"/>
      <c r="T34" s="90"/>
      <c r="U34" s="80" t="s">
        <v>314</v>
      </c>
      <c r="V34" s="81" t="s">
        <v>19</v>
      </c>
      <c r="W34" s="81" t="s">
        <v>19</v>
      </c>
      <c r="X34" s="81" t="s">
        <v>19</v>
      </c>
      <c r="Y34" s="81" t="s">
        <v>19</v>
      </c>
      <c r="Z34" s="65"/>
      <c r="AB34" s="65"/>
      <c r="AC34" s="90"/>
      <c r="AD34" s="80" t="s">
        <v>314</v>
      </c>
      <c r="AE34" s="81" t="s">
        <v>19</v>
      </c>
      <c r="AF34" s="81" t="s">
        <v>19</v>
      </c>
      <c r="AG34" s="81" t="s">
        <v>19</v>
      </c>
      <c r="AH34" s="81" t="s">
        <v>19</v>
      </c>
      <c r="AI34" s="65"/>
      <c r="AK34" s="65"/>
      <c r="AL34" s="90"/>
      <c r="AM34" s="80" t="s">
        <v>314</v>
      </c>
      <c r="AN34" s="81" t="s">
        <v>19</v>
      </c>
      <c r="AO34" s="81" t="s">
        <v>19</v>
      </c>
      <c r="AP34" s="81" t="s">
        <v>19</v>
      </c>
      <c r="AQ34" s="81" t="s">
        <v>19</v>
      </c>
      <c r="AR34" s="65"/>
      <c r="AT34" s="65"/>
      <c r="AU34" s="90"/>
      <c r="AV34" s="80" t="s">
        <v>314</v>
      </c>
      <c r="AW34" s="81" t="s">
        <v>19</v>
      </c>
      <c r="AX34" s="81" t="s">
        <v>19</v>
      </c>
      <c r="AY34" s="81" t="s">
        <v>19</v>
      </c>
      <c r="AZ34" s="81" t="s">
        <v>19</v>
      </c>
      <c r="BA34" s="65"/>
      <c r="BC34" s="65"/>
      <c r="BD34" s="90"/>
      <c r="BE34" s="80" t="s">
        <v>314</v>
      </c>
      <c r="BF34" s="81" t="s">
        <v>19</v>
      </c>
      <c r="BG34" s="81" t="s">
        <v>19</v>
      </c>
      <c r="BH34" s="81" t="s">
        <v>19</v>
      </c>
      <c r="BI34" s="81" t="s">
        <v>19</v>
      </c>
      <c r="BJ34" s="65"/>
      <c r="BL34" s="65"/>
      <c r="BM34" s="90"/>
      <c r="BN34" s="80" t="s">
        <v>314</v>
      </c>
      <c r="BO34" s="81" t="s">
        <v>19</v>
      </c>
      <c r="BP34" s="81" t="s">
        <v>19</v>
      </c>
      <c r="BQ34" s="81" t="s">
        <v>19</v>
      </c>
      <c r="BR34" s="81" t="s">
        <v>19</v>
      </c>
      <c r="BS34" s="65"/>
      <c r="BU34" s="65"/>
      <c r="BV34" s="90"/>
      <c r="BW34" s="80" t="s">
        <v>314</v>
      </c>
      <c r="BX34" s="81" t="s">
        <v>19</v>
      </c>
      <c r="BY34" s="81" t="s">
        <v>19</v>
      </c>
      <c r="BZ34" s="81" t="s">
        <v>19</v>
      </c>
      <c r="CA34" s="81" t="s">
        <v>19</v>
      </c>
      <c r="CB34" s="65"/>
      <c r="CD34" s="65"/>
      <c r="CE34" s="90"/>
      <c r="CF34" s="80" t="s">
        <v>314</v>
      </c>
      <c r="CG34" s="81" t="s">
        <v>19</v>
      </c>
      <c r="CH34" s="81" t="s">
        <v>19</v>
      </c>
      <c r="CI34" s="81" t="s">
        <v>19</v>
      </c>
      <c r="CJ34" s="81" t="s">
        <v>19</v>
      </c>
      <c r="CK34" s="65"/>
      <c r="CM34" s="370"/>
      <c r="CN34" s="386"/>
      <c r="CO34" s="381" t="s">
        <v>314</v>
      </c>
      <c r="CP34" s="382" t="str">
        <f>HLOOKUP($CP$2,D$3:CK$106,32,FALSE)</f>
        <v>x</v>
      </c>
      <c r="CQ34" s="382" t="str">
        <f>HLOOKUP($CQ$2,D$3:CK$106,32,FALSE)</f>
        <v>x</v>
      </c>
      <c r="CR34" s="382" t="str">
        <f>HLOOKUP($CR$2,D$3:CK$106,32,FALSE)</f>
        <v>x</v>
      </c>
      <c r="CS34" s="382" t="str">
        <f>HLOOKUP($CS$2,D$3:CK$106,32,FALSE)</f>
        <v>x</v>
      </c>
      <c r="CT34" s="370"/>
    </row>
    <row r="35" spans="1:98" ht="18" x14ac:dyDescent="0.35">
      <c r="A35" s="65"/>
      <c r="B35" s="90"/>
      <c r="C35" s="80" t="s">
        <v>320</v>
      </c>
      <c r="D35" s="358" t="e">
        <f>HLOOKUP($B$1,DGbaseF2V!$A$76:$S$92,6,0)*$B$2</f>
        <v>#N/A</v>
      </c>
      <c r="E35" s="81"/>
      <c r="F35" s="81"/>
      <c r="G35" s="81" t="e">
        <f t="shared" si="62"/>
        <v>#N/A</v>
      </c>
      <c r="H35" s="65"/>
      <c r="J35" s="65"/>
      <c r="K35" s="90"/>
      <c r="L35" s="80" t="s">
        <v>320</v>
      </c>
      <c r="M35" s="358" t="e">
        <f>HLOOKUP(K$1,DGbaseF2V!$A$76:$S$92,6,0)*K$2</f>
        <v>#N/A</v>
      </c>
      <c r="N35" s="81"/>
      <c r="O35" s="81"/>
      <c r="P35" s="81" t="e">
        <f t="shared" si="63"/>
        <v>#N/A</v>
      </c>
      <c r="Q35" s="65"/>
      <c r="S35" s="65"/>
      <c r="T35" s="90"/>
      <c r="U35" s="80" t="s">
        <v>320</v>
      </c>
      <c r="V35" s="358" t="s">
        <v>798</v>
      </c>
      <c r="W35" s="81"/>
      <c r="X35" s="81"/>
      <c r="Y35" s="81" t="e">
        <f t="shared" ref="Y35:Y37" si="72">V35+W35+X35</f>
        <v>#VALUE!</v>
      </c>
      <c r="Z35" s="65"/>
      <c r="AB35" s="65"/>
      <c r="AC35" s="90"/>
      <c r="AD35" s="80" t="s">
        <v>320</v>
      </c>
      <c r="AE35" s="358" t="e">
        <f>HLOOKUP(AC$1,DGbaseF2V!$A$76:$S$92,6,0)*AC$2</f>
        <v>#N/A</v>
      </c>
      <c r="AF35" s="81"/>
      <c r="AG35" s="81"/>
      <c r="AH35" s="81" t="e">
        <f t="shared" ref="AH35:AH37" si="73">AE35+AF35+AG35</f>
        <v>#N/A</v>
      </c>
      <c r="AI35" s="65"/>
      <c r="AK35" s="65"/>
      <c r="AL35" s="90"/>
      <c r="AM35" s="80" t="s">
        <v>320</v>
      </c>
      <c r="AN35" s="358" t="e">
        <f>HLOOKUP(AL$1,DGbaseF2V!$A$76:$S$92,6,0)*AL$2</f>
        <v>#N/A</v>
      </c>
      <c r="AO35" s="81"/>
      <c r="AP35" s="81"/>
      <c r="AQ35" s="81" t="e">
        <f t="shared" ref="AQ35:AQ37" si="74">AN35+AO35+AP35</f>
        <v>#N/A</v>
      </c>
      <c r="AR35" s="65"/>
      <c r="AT35" s="65"/>
      <c r="AU35" s="90"/>
      <c r="AV35" s="80" t="s">
        <v>320</v>
      </c>
      <c r="AW35" s="358" t="e">
        <f>HLOOKUP(AU$1,DGbaseF2V!$A$76:$S$92,6,0)*AU$2</f>
        <v>#N/A</v>
      </c>
      <c r="AX35" s="81"/>
      <c r="AY35" s="81"/>
      <c r="AZ35" s="81" t="e">
        <f t="shared" ref="AZ35:AZ37" si="75">AW35+AX35+AY35</f>
        <v>#N/A</v>
      </c>
      <c r="BA35" s="65"/>
      <c r="BC35" s="65"/>
      <c r="BD35" s="90"/>
      <c r="BE35" s="80" t="s">
        <v>320</v>
      </c>
      <c r="BF35" s="358" t="e">
        <f>HLOOKUP(BD$1,DGbaseF2V!$A$76:$S$92,6,0)*BD$2</f>
        <v>#N/A</v>
      </c>
      <c r="BG35" s="81"/>
      <c r="BH35" s="81"/>
      <c r="BI35" s="81" t="e">
        <f t="shared" ref="BI35:BI37" si="76">BF35+BG35+BH35</f>
        <v>#N/A</v>
      </c>
      <c r="BJ35" s="65"/>
      <c r="BL35" s="65"/>
      <c r="BM35" s="90"/>
      <c r="BN35" s="80" t="s">
        <v>320</v>
      </c>
      <c r="BO35" s="358" t="e">
        <f>HLOOKUP(BM$1,DGbaseF2V!$A$76:$S$92,6,0)*BM$2</f>
        <v>#N/A</v>
      </c>
      <c r="BP35" s="81"/>
      <c r="BQ35" s="81"/>
      <c r="BR35" s="81" t="e">
        <f t="shared" ref="BR35:BR37" si="77">BO35+BP35+BQ35</f>
        <v>#N/A</v>
      </c>
      <c r="BS35" s="65"/>
      <c r="BU35" s="65"/>
      <c r="BV35" s="90"/>
      <c r="BW35" s="80" t="s">
        <v>320</v>
      </c>
      <c r="BX35" s="358" t="e">
        <f>HLOOKUP(BV$1,DGbaseF2V!$A$76:$S$92,6,0)*BV$2</f>
        <v>#N/A</v>
      </c>
      <c r="BY35" s="81"/>
      <c r="BZ35" s="81"/>
      <c r="CA35" s="81" t="e">
        <f t="shared" ref="CA35:CA37" si="78">BX35+BY35+BZ35</f>
        <v>#N/A</v>
      </c>
      <c r="CB35" s="65"/>
      <c r="CD35" s="65"/>
      <c r="CE35" s="90"/>
      <c r="CF35" s="80" t="s">
        <v>320</v>
      </c>
      <c r="CG35" s="358" t="e">
        <f>HLOOKUP(CE$1,DGbaseF2V!$A$76:$S$92,6,0)*CE$2</f>
        <v>#N/A</v>
      </c>
      <c r="CH35" s="81"/>
      <c r="CI35" s="81"/>
      <c r="CJ35" s="81" t="e">
        <f t="shared" ref="CJ35:CJ37" si="79">CG35+CH35+CI35</f>
        <v>#N/A</v>
      </c>
      <c r="CK35" s="65"/>
      <c r="CM35" s="370"/>
      <c r="CN35" s="386"/>
      <c r="CO35" s="381" t="s">
        <v>320</v>
      </c>
      <c r="CP35" s="382" t="e">
        <f>HLOOKUP($CP$2,D$3:CK$106,33,FALSE)</f>
        <v>#N/A</v>
      </c>
      <c r="CQ35" s="382">
        <f>HLOOKUP($CQ$2,D$3:CK$106,33,FALSE)</f>
        <v>0</v>
      </c>
      <c r="CR35" s="382">
        <f>HLOOKUP($CR$2,D$3:CK$106,33,FALSE)</f>
        <v>0</v>
      </c>
      <c r="CS35" s="382" t="e">
        <f>HLOOKUP($CS$2,D$3:CK$106,33,FALSE)</f>
        <v>#N/A</v>
      </c>
      <c r="CT35" s="370"/>
    </row>
    <row r="36" spans="1:98" ht="18" x14ac:dyDescent="0.35">
      <c r="A36" s="65"/>
      <c r="B36" s="90"/>
      <c r="C36" s="80" t="s">
        <v>337</v>
      </c>
      <c r="D36" s="358">
        <f>HLOOKUP($B$1,DGbaseF2V!$A$58:$S$74,6,0)*$B$2</f>
        <v>-4.4278312000000004E-10</v>
      </c>
      <c r="E36" s="81"/>
      <c r="F36" s="81"/>
      <c r="G36" s="81">
        <f t="shared" si="62"/>
        <v>-4.4278312000000004E-10</v>
      </c>
      <c r="H36" s="65"/>
      <c r="J36" s="65"/>
      <c r="K36" s="90"/>
      <c r="L36" s="80" t="s">
        <v>337</v>
      </c>
      <c r="M36" s="358">
        <f>HLOOKUP(K$1,DGbaseF2V!$A$58:$S$74,6,0)*K$2</f>
        <v>-4.4278312000000004E-10</v>
      </c>
      <c r="N36" s="81"/>
      <c r="O36" s="81"/>
      <c r="P36" s="81">
        <f t="shared" si="63"/>
        <v>-4.4278312000000004E-10</v>
      </c>
      <c r="Q36" s="65"/>
      <c r="S36" s="65"/>
      <c r="T36" s="90"/>
      <c r="U36" s="80" t="s">
        <v>337</v>
      </c>
      <c r="V36" s="358">
        <f>HLOOKUP(T$1,DGbaseF2V!$A$58:$S$74,6,0)*T$2</f>
        <v>-7.3347385649999998E-10</v>
      </c>
      <c r="W36" s="81"/>
      <c r="X36" s="81"/>
      <c r="Y36" s="81">
        <f t="shared" si="72"/>
        <v>-7.3347385649999998E-10</v>
      </c>
      <c r="Z36" s="65"/>
      <c r="AB36" s="65"/>
      <c r="AC36" s="90"/>
      <c r="AD36" s="80" t="s">
        <v>337</v>
      </c>
      <c r="AE36" s="358">
        <f>HLOOKUP(AC$1,DGbaseF2V!$A$58:$S$74,6,0)*AC$2</f>
        <v>-6.0011497349999992E-10</v>
      </c>
      <c r="AF36" s="81"/>
      <c r="AG36" s="81"/>
      <c r="AH36" s="81">
        <f t="shared" si="73"/>
        <v>-6.0011497349999992E-10</v>
      </c>
      <c r="AI36" s="65"/>
      <c r="AK36" s="65"/>
      <c r="AL36" s="90"/>
      <c r="AM36" s="80" t="s">
        <v>337</v>
      </c>
      <c r="AN36" s="358">
        <f>HLOOKUP(AL$1,DGbaseF2V!$A$58:$S$74,6,0)*AL$2</f>
        <v>-3.76365652E-9</v>
      </c>
      <c r="AO36" s="81"/>
      <c r="AP36" s="81"/>
      <c r="AQ36" s="81">
        <f t="shared" si="74"/>
        <v>-3.76365652E-9</v>
      </c>
      <c r="AR36" s="65"/>
      <c r="AT36" s="65"/>
      <c r="AU36" s="90"/>
      <c r="AV36" s="80" t="s">
        <v>337</v>
      </c>
      <c r="AW36" s="358">
        <f>HLOOKUP(AU$1,DGbaseF2V!$A$58:$S$74,6,0)*AU$2</f>
        <v>-6.6417467999999995E-10</v>
      </c>
      <c r="AX36" s="81"/>
      <c r="AY36" s="81"/>
      <c r="AZ36" s="81">
        <f t="shared" si="75"/>
        <v>-6.6417467999999995E-10</v>
      </c>
      <c r="BA36" s="65"/>
      <c r="BC36" s="65"/>
      <c r="BD36" s="90"/>
      <c r="BE36" s="80" t="s">
        <v>337</v>
      </c>
      <c r="BF36" s="358">
        <f>HLOOKUP(BD$1,DGbaseF2V!$A$58:$S$74,6,0)*BD$2</f>
        <v>-7.3059214800000003E-10</v>
      </c>
      <c r="BG36" s="81"/>
      <c r="BH36" s="81"/>
      <c r="BI36" s="81">
        <f t="shared" si="76"/>
        <v>-7.3059214800000003E-10</v>
      </c>
      <c r="BJ36" s="65"/>
      <c r="BL36" s="65"/>
      <c r="BM36" s="90"/>
      <c r="BN36" s="80" t="s">
        <v>337</v>
      </c>
      <c r="BO36" s="358">
        <f>HLOOKUP(BM$1,DGbaseF2V!$A$58:$S$74,6,0)*BM$2</f>
        <v>-2.2139156000000002E-10</v>
      </c>
      <c r="BP36" s="81"/>
      <c r="BQ36" s="81"/>
      <c r="BR36" s="81">
        <f t="shared" si="77"/>
        <v>-2.2139156000000002E-10</v>
      </c>
      <c r="BS36" s="65"/>
      <c r="BU36" s="65"/>
      <c r="BV36" s="90"/>
      <c r="BW36" s="80" t="s">
        <v>337</v>
      </c>
      <c r="BX36" s="358">
        <f>HLOOKUP(BV$1,DGbaseF2V!$A$58:$S$74,6,0)*BV$2</f>
        <v>-4.4278312000000004E-10</v>
      </c>
      <c r="BY36" s="81"/>
      <c r="BZ36" s="81"/>
      <c r="CA36" s="81">
        <f t="shared" si="78"/>
        <v>-4.4278312000000004E-10</v>
      </c>
      <c r="CB36" s="65"/>
      <c r="CD36" s="65"/>
      <c r="CE36" s="90"/>
      <c r="CF36" s="80" t="s">
        <v>337</v>
      </c>
      <c r="CG36" s="358">
        <f>HLOOKUP(CE$1,DGbaseF2V!$A$58:$S$74,6,0)*CE$2</f>
        <v>-3.7636565200000006E-10</v>
      </c>
      <c r="CH36" s="81"/>
      <c r="CI36" s="81"/>
      <c r="CJ36" s="81">
        <f t="shared" si="79"/>
        <v>-3.7636565200000006E-10</v>
      </c>
      <c r="CK36" s="65"/>
      <c r="CM36" s="370"/>
      <c r="CN36" s="386"/>
      <c r="CO36" s="381" t="s">
        <v>337</v>
      </c>
      <c r="CP36" s="382">
        <f>HLOOKUP($CP$2,D$3:CK$106,34,FALSE)</f>
        <v>-4.4278312000000004E-10</v>
      </c>
      <c r="CQ36" s="382">
        <f>HLOOKUP($CQ$2,D$3:CK$106,34,FALSE)</f>
        <v>0</v>
      </c>
      <c r="CR36" s="382">
        <f>HLOOKUP($CR$2,D$3:CK$106,34,FALSE)</f>
        <v>0</v>
      </c>
      <c r="CS36" s="382">
        <f>HLOOKUP($CS$2,D$3:CK$106,34,FALSE)</f>
        <v>-4.4278312000000004E-10</v>
      </c>
      <c r="CT36" s="370"/>
    </row>
    <row r="37" spans="1:98" ht="18" x14ac:dyDescent="0.35">
      <c r="A37" s="65"/>
      <c r="B37" s="90"/>
      <c r="C37" s="80" t="s">
        <v>321</v>
      </c>
      <c r="D37" s="358" t="e">
        <f>HLOOKUP($B$1,DGbaseF2V!$A$22:$S$38,6,0)*$B$2</f>
        <v>#N/A</v>
      </c>
      <c r="E37" s="81"/>
      <c r="F37" s="81"/>
      <c r="G37" s="81" t="e">
        <f t="shared" si="62"/>
        <v>#N/A</v>
      </c>
      <c r="H37" s="65"/>
      <c r="J37" s="65"/>
      <c r="K37" s="90"/>
      <c r="L37" s="80" t="s">
        <v>321</v>
      </c>
      <c r="M37" s="358" t="e">
        <f>HLOOKUP(K$1,DGbaseF2V!$A$22:$S$38,6,0)*K$2</f>
        <v>#N/A</v>
      </c>
      <c r="N37" s="81"/>
      <c r="O37" s="81"/>
      <c r="P37" s="81" t="e">
        <f t="shared" si="63"/>
        <v>#N/A</v>
      </c>
      <c r="Q37" s="65"/>
      <c r="S37" s="65"/>
      <c r="T37" s="90"/>
      <c r="U37" s="80" t="s">
        <v>321</v>
      </c>
      <c r="V37" s="358" t="e">
        <f>HLOOKUP(T$1,DGbaseF2V!$A$22:$S$38,6,0)*T$2</f>
        <v>#N/A</v>
      </c>
      <c r="W37" s="81"/>
      <c r="X37" s="81"/>
      <c r="Y37" s="81" t="e">
        <f t="shared" si="72"/>
        <v>#N/A</v>
      </c>
      <c r="Z37" s="65"/>
      <c r="AB37" s="65"/>
      <c r="AC37" s="90"/>
      <c r="AD37" s="80" t="s">
        <v>321</v>
      </c>
      <c r="AE37" s="358" t="e">
        <f>HLOOKUP(AC$1,DGbaseF2V!$A$22:$S$38,6,0)*AC$2</f>
        <v>#N/A</v>
      </c>
      <c r="AF37" s="81"/>
      <c r="AG37" s="81"/>
      <c r="AH37" s="81" t="e">
        <f t="shared" si="73"/>
        <v>#N/A</v>
      </c>
      <c r="AI37" s="65"/>
      <c r="AK37" s="65"/>
      <c r="AL37" s="90"/>
      <c r="AM37" s="80" t="s">
        <v>321</v>
      </c>
      <c r="AN37" s="358" t="e">
        <f>HLOOKUP(AL$1,DGbaseF2V!$A$22:$S$38,6,0)*AL$2</f>
        <v>#N/A</v>
      </c>
      <c r="AO37" s="81"/>
      <c r="AP37" s="81"/>
      <c r="AQ37" s="81" t="e">
        <f t="shared" si="74"/>
        <v>#N/A</v>
      </c>
      <c r="AR37" s="65"/>
      <c r="AT37" s="65"/>
      <c r="AU37" s="90"/>
      <c r="AV37" s="80" t="s">
        <v>321</v>
      </c>
      <c r="AW37" s="358" t="e">
        <f>HLOOKUP(AU$1,DGbaseF2V!$A$22:$S$38,6,0)*AU$2</f>
        <v>#N/A</v>
      </c>
      <c r="AX37" s="81"/>
      <c r="AY37" s="81"/>
      <c r="AZ37" s="81" t="e">
        <f t="shared" si="75"/>
        <v>#N/A</v>
      </c>
      <c r="BA37" s="65"/>
      <c r="BC37" s="65"/>
      <c r="BD37" s="90"/>
      <c r="BE37" s="80" t="s">
        <v>321</v>
      </c>
      <c r="BF37" s="358">
        <f>HLOOKUP(BD$1,DGbaseF2V!$A$22:$S$38,6,0)*BD$2</f>
        <v>2.6657629350000005E-10</v>
      </c>
      <c r="BG37" s="81"/>
      <c r="BH37" s="81"/>
      <c r="BI37" s="81">
        <f t="shared" si="76"/>
        <v>2.6657629350000005E-10</v>
      </c>
      <c r="BJ37" s="65"/>
      <c r="BL37" s="65"/>
      <c r="BM37" s="90"/>
      <c r="BN37" s="80" t="s">
        <v>321</v>
      </c>
      <c r="BO37" s="358">
        <f>HLOOKUP(BM$1,DGbaseF2V!$A$22:$S$38,6,0)*BM$2</f>
        <v>8.0780694999999998E-11</v>
      </c>
      <c r="BP37" s="81"/>
      <c r="BQ37" s="81"/>
      <c r="BR37" s="81">
        <f t="shared" si="77"/>
        <v>8.0780694999999998E-11</v>
      </c>
      <c r="BS37" s="65"/>
      <c r="BU37" s="65"/>
      <c r="BV37" s="90"/>
      <c r="BW37" s="80" t="s">
        <v>321</v>
      </c>
      <c r="BX37" s="358" t="e">
        <f>HLOOKUP(BV$1,DGbaseF2V!$A$22:$S$38,6,0)*BV$2</f>
        <v>#N/A</v>
      </c>
      <c r="BY37" s="81"/>
      <c r="BZ37" s="81"/>
      <c r="CA37" s="81" t="e">
        <f t="shared" si="78"/>
        <v>#N/A</v>
      </c>
      <c r="CB37" s="65"/>
      <c r="CD37" s="65"/>
      <c r="CE37" s="90"/>
      <c r="CF37" s="80" t="s">
        <v>321</v>
      </c>
      <c r="CG37" s="358" t="e">
        <f>HLOOKUP(CE$1,DGbaseF2V!$A$22:$S$38,6,0)*CE$2</f>
        <v>#N/A</v>
      </c>
      <c r="CH37" s="81"/>
      <c r="CI37" s="81"/>
      <c r="CJ37" s="81" t="e">
        <f t="shared" si="79"/>
        <v>#N/A</v>
      </c>
      <c r="CK37" s="65"/>
      <c r="CM37" s="370"/>
      <c r="CN37" s="386"/>
      <c r="CO37" s="381" t="s">
        <v>321</v>
      </c>
      <c r="CP37" s="382" t="e">
        <f>HLOOKUP($CP$2,D$3:CK$106,35,FALSE)</f>
        <v>#N/A</v>
      </c>
      <c r="CQ37" s="382">
        <f>HLOOKUP($CQ$2,D$3:CK$106,35,FALSE)</f>
        <v>0</v>
      </c>
      <c r="CR37" s="382">
        <f>HLOOKUP($CR$2,D$3:CK$106,35,FALSE)</f>
        <v>0</v>
      </c>
      <c r="CS37" s="382" t="e">
        <f>HLOOKUP($CS$2,D$3:CK$106,35,FALSE)</f>
        <v>#N/A</v>
      </c>
      <c r="CT37" s="370"/>
    </row>
    <row r="38" spans="1:98" ht="18" x14ac:dyDescent="0.35">
      <c r="A38" s="65"/>
      <c r="B38" s="90"/>
      <c r="C38" s="80" t="s">
        <v>322</v>
      </c>
      <c r="D38" s="81" t="s">
        <v>19</v>
      </c>
      <c r="E38" s="81" t="s">
        <v>19</v>
      </c>
      <c r="F38" s="81" t="s">
        <v>19</v>
      </c>
      <c r="G38" s="81" t="s">
        <v>19</v>
      </c>
      <c r="H38" s="65"/>
      <c r="J38" s="65"/>
      <c r="K38" s="90"/>
      <c r="L38" s="80" t="s">
        <v>322</v>
      </c>
      <c r="M38" s="81" t="s">
        <v>19</v>
      </c>
      <c r="N38" s="81" t="s">
        <v>19</v>
      </c>
      <c r="O38" s="81" t="s">
        <v>19</v>
      </c>
      <c r="P38" s="81" t="s">
        <v>19</v>
      </c>
      <c r="Q38" s="65"/>
      <c r="S38" s="65"/>
      <c r="T38" s="90"/>
      <c r="U38" s="80" t="s">
        <v>322</v>
      </c>
      <c r="V38" s="81" t="s">
        <v>19</v>
      </c>
      <c r="W38" s="81" t="s">
        <v>19</v>
      </c>
      <c r="X38" s="81" t="s">
        <v>19</v>
      </c>
      <c r="Y38" s="81" t="s">
        <v>19</v>
      </c>
      <c r="Z38" s="65"/>
      <c r="AB38" s="65"/>
      <c r="AC38" s="90"/>
      <c r="AD38" s="80" t="s">
        <v>322</v>
      </c>
      <c r="AE38" s="81" t="s">
        <v>19</v>
      </c>
      <c r="AF38" s="81" t="s">
        <v>19</v>
      </c>
      <c r="AG38" s="81" t="s">
        <v>19</v>
      </c>
      <c r="AH38" s="81" t="s">
        <v>19</v>
      </c>
      <c r="AI38" s="65"/>
      <c r="AK38" s="65"/>
      <c r="AL38" s="90"/>
      <c r="AM38" s="80" t="s">
        <v>322</v>
      </c>
      <c r="AN38" s="81" t="s">
        <v>19</v>
      </c>
      <c r="AO38" s="81" t="s">
        <v>19</v>
      </c>
      <c r="AP38" s="81" t="s">
        <v>19</v>
      </c>
      <c r="AQ38" s="81" t="s">
        <v>19</v>
      </c>
      <c r="AR38" s="65"/>
      <c r="AT38" s="65"/>
      <c r="AU38" s="90"/>
      <c r="AV38" s="80" t="s">
        <v>322</v>
      </c>
      <c r="AW38" s="81" t="s">
        <v>19</v>
      </c>
      <c r="AX38" s="81" t="s">
        <v>19</v>
      </c>
      <c r="AY38" s="81" t="s">
        <v>19</v>
      </c>
      <c r="AZ38" s="81" t="s">
        <v>19</v>
      </c>
      <c r="BA38" s="65"/>
      <c r="BC38" s="65"/>
      <c r="BD38" s="90"/>
      <c r="BE38" s="80" t="s">
        <v>322</v>
      </c>
      <c r="BF38" s="81" t="s">
        <v>19</v>
      </c>
      <c r="BG38" s="81" t="s">
        <v>19</v>
      </c>
      <c r="BH38" s="81" t="s">
        <v>19</v>
      </c>
      <c r="BI38" s="81" t="s">
        <v>19</v>
      </c>
      <c r="BJ38" s="65"/>
      <c r="BL38" s="65"/>
      <c r="BM38" s="90"/>
      <c r="BN38" s="80" t="s">
        <v>322</v>
      </c>
      <c r="BO38" s="81" t="s">
        <v>19</v>
      </c>
      <c r="BP38" s="81" t="s">
        <v>19</v>
      </c>
      <c r="BQ38" s="81" t="s">
        <v>19</v>
      </c>
      <c r="BR38" s="81" t="s">
        <v>19</v>
      </c>
      <c r="BS38" s="65"/>
      <c r="BU38" s="65"/>
      <c r="BV38" s="90"/>
      <c r="BW38" s="80" t="s">
        <v>322</v>
      </c>
      <c r="BX38" s="81" t="s">
        <v>19</v>
      </c>
      <c r="BY38" s="81" t="s">
        <v>19</v>
      </c>
      <c r="BZ38" s="81" t="s">
        <v>19</v>
      </c>
      <c r="CA38" s="81" t="s">
        <v>19</v>
      </c>
      <c r="CB38" s="65"/>
      <c r="CD38" s="65"/>
      <c r="CE38" s="90"/>
      <c r="CF38" s="80" t="s">
        <v>322</v>
      </c>
      <c r="CG38" s="81" t="s">
        <v>19</v>
      </c>
      <c r="CH38" s="81" t="s">
        <v>19</v>
      </c>
      <c r="CI38" s="81" t="s">
        <v>19</v>
      </c>
      <c r="CJ38" s="81" t="s">
        <v>19</v>
      </c>
      <c r="CK38" s="65"/>
      <c r="CM38" s="370"/>
      <c r="CN38" s="386"/>
      <c r="CO38" s="381" t="s">
        <v>322</v>
      </c>
      <c r="CP38" s="382" t="str">
        <f>HLOOKUP($CP$2,D$3:CK$106,36,FALSE)</f>
        <v>x</v>
      </c>
      <c r="CQ38" s="382" t="str">
        <f>HLOOKUP($CQ$2,D$3:CK$106,36,FALSE)</f>
        <v>x</v>
      </c>
      <c r="CR38" s="382" t="str">
        <f>HLOOKUP($CR$2,D$3:CK$106,36,FALSE)</f>
        <v>x</v>
      </c>
      <c r="CS38" s="382" t="str">
        <f>HLOOKUP($CS$2,D$3:CK$106,36,FALSE)</f>
        <v>x</v>
      </c>
      <c r="CT38" s="370"/>
    </row>
    <row r="39" spans="1:98" ht="18" x14ac:dyDescent="0.35">
      <c r="A39" s="65"/>
      <c r="B39" s="90"/>
      <c r="C39" s="80" t="s">
        <v>339</v>
      </c>
      <c r="D39" s="358">
        <f>HLOOKUP($B$1,DGbaseF2V!$A$40:$S$56,6,0)*$B$2</f>
        <v>2.0810264000000003E-9</v>
      </c>
      <c r="E39" s="81"/>
      <c r="F39" s="81"/>
      <c r="G39" s="81">
        <f t="shared" si="62"/>
        <v>2.0810264000000003E-9</v>
      </c>
      <c r="H39" s="65"/>
      <c r="J39" s="65"/>
      <c r="K39" s="90"/>
      <c r="L39" s="80" t="s">
        <v>339</v>
      </c>
      <c r="M39" s="358">
        <f>HLOOKUP(K$1,DGbaseF2V!$A$40:$S$56,6,0)*K$2</f>
        <v>1.9174492799999999E-9</v>
      </c>
      <c r="N39" s="81"/>
      <c r="O39" s="81"/>
      <c r="P39" s="81">
        <f t="shared" si="63"/>
        <v>1.9174492799999999E-9</v>
      </c>
      <c r="Q39" s="65"/>
      <c r="S39" s="65"/>
      <c r="T39" s="90"/>
      <c r="U39" s="80" t="s">
        <v>339</v>
      </c>
      <c r="V39" s="358">
        <f>HLOOKUP(T$1,DGbaseF2V!$A$40:$S$56,6,0)*T$2</f>
        <v>2.7874045182500001E-9</v>
      </c>
      <c r="W39" s="81"/>
      <c r="X39" s="81"/>
      <c r="Y39" s="81">
        <f t="shared" ref="Y39" si="80">V39+W39+X39</f>
        <v>2.7874045182500001E-9</v>
      </c>
      <c r="Z39" s="65"/>
      <c r="AB39" s="65"/>
      <c r="AC39" s="90"/>
      <c r="AD39" s="80" t="s">
        <v>339</v>
      </c>
      <c r="AE39" s="358">
        <f>HLOOKUP(AC$1,DGbaseF2V!$A$40:$S$56,6,0)*AC$2</f>
        <v>2.28060369675E-9</v>
      </c>
      <c r="AF39" s="81"/>
      <c r="AG39" s="81"/>
      <c r="AH39" s="81">
        <f t="shared" ref="AH39" si="81">AE39+AF39+AG39</f>
        <v>2.28060369675E-9</v>
      </c>
      <c r="AI39" s="65"/>
      <c r="AK39" s="65"/>
      <c r="AL39" s="90"/>
      <c r="AM39" s="80" t="s">
        <v>339</v>
      </c>
      <c r="AN39" s="358">
        <f>HLOOKUP(AL$1,DGbaseF2V!$A$40:$S$56,6,0)*AL$2</f>
        <v>1.7688724400000002E-8</v>
      </c>
      <c r="AO39" s="81"/>
      <c r="AP39" s="81"/>
      <c r="AQ39" s="81">
        <f t="shared" ref="AQ39" si="82">AN39+AO39+AP39</f>
        <v>1.7688724400000002E-8</v>
      </c>
      <c r="AR39" s="65"/>
      <c r="AT39" s="65"/>
      <c r="AU39" s="90"/>
      <c r="AV39" s="80" t="s">
        <v>339</v>
      </c>
      <c r="AW39" s="358">
        <f>HLOOKUP(AU$1,DGbaseF2V!$A$40:$S$56,6,0)*AU$2</f>
        <v>2.8761739200000001E-9</v>
      </c>
      <c r="AX39" s="81"/>
      <c r="AY39" s="81"/>
      <c r="AZ39" s="81">
        <f t="shared" ref="AZ39" si="83">AW39+AX39+AY39</f>
        <v>2.8761739200000001E-9</v>
      </c>
      <c r="BA39" s="65"/>
      <c r="BC39" s="65"/>
      <c r="BD39" s="90"/>
      <c r="BE39" s="80" t="s">
        <v>339</v>
      </c>
      <c r="BF39" s="358">
        <f>HLOOKUP(BD$1,DGbaseF2V!$A$40:$S$56,6,0)*BD$2</f>
        <v>2.6657629350000005E-10</v>
      </c>
      <c r="BG39" s="81"/>
      <c r="BH39" s="81"/>
      <c r="BI39" s="81">
        <f t="shared" ref="BI39" si="84">BF39+BG39+BH39</f>
        <v>2.6657629350000005E-10</v>
      </c>
      <c r="BJ39" s="65"/>
      <c r="BL39" s="65"/>
      <c r="BM39" s="90"/>
      <c r="BN39" s="80" t="s">
        <v>339</v>
      </c>
      <c r="BO39" s="358">
        <f>HLOOKUP(BM$1,DGbaseF2V!$A$40:$S$56,6,0)*BM$2</f>
        <v>8.0780694999999998E-11</v>
      </c>
      <c r="BP39" s="81"/>
      <c r="BQ39" s="81"/>
      <c r="BR39" s="81">
        <f t="shared" ref="BR39" si="85">BO39+BP39+BQ39</f>
        <v>8.0780694999999998E-11</v>
      </c>
      <c r="BS39" s="65"/>
      <c r="BU39" s="65"/>
      <c r="BV39" s="90"/>
      <c r="BW39" s="80" t="s">
        <v>339</v>
      </c>
      <c r="BX39" s="358">
        <f>HLOOKUP(BV$1,DGbaseF2V!$A$40:$S$56,6,0)*BV$2</f>
        <v>1.9174492799999999E-9</v>
      </c>
      <c r="BY39" s="81"/>
      <c r="BZ39" s="81"/>
      <c r="CA39" s="81">
        <f t="shared" ref="CA39" si="86">BX39+BY39+BZ39</f>
        <v>1.9174492799999999E-9</v>
      </c>
      <c r="CB39" s="65"/>
      <c r="CD39" s="65"/>
      <c r="CE39" s="90"/>
      <c r="CF39" s="80" t="s">
        <v>339</v>
      </c>
      <c r="CG39" s="358">
        <f>HLOOKUP(CE$1,DGbaseF2V!$A$40:$S$56,6,0)*CE$2</f>
        <v>1.7688724400000002E-9</v>
      </c>
      <c r="CH39" s="81"/>
      <c r="CI39" s="81"/>
      <c r="CJ39" s="81">
        <f t="shared" ref="CJ39" si="87">CG39+CH39+CI39</f>
        <v>1.7688724400000002E-9</v>
      </c>
      <c r="CK39" s="65"/>
      <c r="CM39" s="370"/>
      <c r="CN39" s="386"/>
      <c r="CO39" s="381" t="s">
        <v>339</v>
      </c>
      <c r="CP39" s="382">
        <f>HLOOKUP($CP$2,D$3:CK$106,37,FALSE)</f>
        <v>1.9174492799999999E-9</v>
      </c>
      <c r="CQ39" s="382">
        <f>HLOOKUP($CQ$2,D$3:CK$106,37,FALSE)</f>
        <v>0</v>
      </c>
      <c r="CR39" s="382">
        <f>HLOOKUP($CR$2,D$3:CK$106,37,FALSE)</f>
        <v>0</v>
      </c>
      <c r="CS39" s="382">
        <f>HLOOKUP($CS$2,D$3:CK$106,37,FALSE)</f>
        <v>1.9174492799999999E-9</v>
      </c>
      <c r="CT39" s="370"/>
    </row>
    <row r="40" spans="1:98" ht="18" x14ac:dyDescent="0.35">
      <c r="A40" s="65"/>
      <c r="B40" s="90"/>
      <c r="C40" s="80" t="s">
        <v>340</v>
      </c>
      <c r="D40" s="86"/>
      <c r="E40" s="86"/>
      <c r="F40" s="86"/>
      <c r="G40" s="86"/>
      <c r="H40" s="89" t="s">
        <v>341</v>
      </c>
      <c r="J40" s="65"/>
      <c r="K40" s="90"/>
      <c r="L40" s="80" t="s">
        <v>340</v>
      </c>
      <c r="M40" s="86"/>
      <c r="N40" s="86"/>
      <c r="O40" s="86"/>
      <c r="P40" s="86"/>
      <c r="Q40" s="89" t="s">
        <v>341</v>
      </c>
      <c r="S40" s="65"/>
      <c r="T40" s="90"/>
      <c r="U40" s="80" t="s">
        <v>340</v>
      </c>
      <c r="V40" s="86"/>
      <c r="W40" s="86"/>
      <c r="X40" s="86"/>
      <c r="Y40" s="86"/>
      <c r="Z40" s="89" t="s">
        <v>341</v>
      </c>
      <c r="AB40" s="65"/>
      <c r="AC40" s="90"/>
      <c r="AD40" s="80" t="s">
        <v>340</v>
      </c>
      <c r="AE40" s="86"/>
      <c r="AF40" s="86"/>
      <c r="AG40" s="86"/>
      <c r="AH40" s="86"/>
      <c r="AI40" s="89" t="s">
        <v>341</v>
      </c>
      <c r="AK40" s="65"/>
      <c r="AL40" s="90"/>
      <c r="AM40" s="80" t="s">
        <v>340</v>
      </c>
      <c r="AN40" s="86"/>
      <c r="AO40" s="86"/>
      <c r="AP40" s="86"/>
      <c r="AQ40" s="86"/>
      <c r="AR40" s="89" t="s">
        <v>341</v>
      </c>
      <c r="AT40" s="65"/>
      <c r="AU40" s="90"/>
      <c r="AV40" s="80" t="s">
        <v>340</v>
      </c>
      <c r="AW40" s="86"/>
      <c r="AX40" s="86"/>
      <c r="AY40" s="86"/>
      <c r="AZ40" s="86"/>
      <c r="BA40" s="89" t="s">
        <v>341</v>
      </c>
      <c r="BC40" s="65"/>
      <c r="BD40" s="90"/>
      <c r="BE40" s="80" t="s">
        <v>340</v>
      </c>
      <c r="BF40" s="86"/>
      <c r="BG40" s="86"/>
      <c r="BH40" s="86"/>
      <c r="BI40" s="86"/>
      <c r="BJ40" s="89" t="s">
        <v>341</v>
      </c>
      <c r="BL40" s="65"/>
      <c r="BM40" s="90"/>
      <c r="BN40" s="80" t="s">
        <v>340</v>
      </c>
      <c r="BO40" s="86"/>
      <c r="BP40" s="86"/>
      <c r="BQ40" s="86"/>
      <c r="BR40" s="86"/>
      <c r="BS40" s="89" t="s">
        <v>341</v>
      </c>
      <c r="BU40" s="65"/>
      <c r="BV40" s="90"/>
      <c r="BW40" s="80" t="s">
        <v>340</v>
      </c>
      <c r="BX40" s="86"/>
      <c r="BY40" s="86"/>
      <c r="BZ40" s="86"/>
      <c r="CA40" s="86"/>
      <c r="CB40" s="89" t="s">
        <v>341</v>
      </c>
      <c r="CD40" s="65"/>
      <c r="CE40" s="90"/>
      <c r="CF40" s="80" t="s">
        <v>340</v>
      </c>
      <c r="CG40" s="86"/>
      <c r="CH40" s="86"/>
      <c r="CI40" s="86"/>
      <c r="CJ40" s="86"/>
      <c r="CK40" s="89" t="s">
        <v>341</v>
      </c>
      <c r="CM40" s="370"/>
      <c r="CN40" s="386"/>
      <c r="CO40" s="381" t="s">
        <v>340</v>
      </c>
      <c r="CP40" s="382"/>
      <c r="CQ40" s="382"/>
      <c r="CR40" s="382"/>
      <c r="CS40" s="382"/>
      <c r="CT40" s="385" t="s">
        <v>341</v>
      </c>
    </row>
    <row r="41" spans="1:98" ht="18" x14ac:dyDescent="0.35">
      <c r="A41" s="65"/>
      <c r="B41" s="90"/>
      <c r="C41" s="85"/>
      <c r="D41" s="92"/>
      <c r="E41" s="92"/>
      <c r="F41" s="92"/>
      <c r="G41" s="92"/>
      <c r="H41" s="65"/>
      <c r="J41" s="65"/>
      <c r="K41" s="90"/>
      <c r="L41" s="85"/>
      <c r="M41" s="92"/>
      <c r="N41" s="92"/>
      <c r="O41" s="92"/>
      <c r="P41" s="92"/>
      <c r="Q41" s="65"/>
      <c r="S41" s="65"/>
      <c r="T41" s="90"/>
      <c r="U41" s="85"/>
      <c r="V41" s="92"/>
      <c r="W41" s="92"/>
      <c r="X41" s="92"/>
      <c r="Y41" s="92"/>
      <c r="Z41" s="65"/>
      <c r="AB41" s="65"/>
      <c r="AC41" s="90"/>
      <c r="AD41" s="85"/>
      <c r="AE41" s="92"/>
      <c r="AF41" s="92"/>
      <c r="AG41" s="92"/>
      <c r="AH41" s="92"/>
      <c r="AI41" s="65"/>
      <c r="AK41" s="65"/>
      <c r="AL41" s="90"/>
      <c r="AM41" s="85"/>
      <c r="AN41" s="92"/>
      <c r="AO41" s="92"/>
      <c r="AP41" s="92"/>
      <c r="AQ41" s="92"/>
      <c r="AR41" s="65"/>
      <c r="AT41" s="65"/>
      <c r="AU41" s="90"/>
      <c r="AV41" s="85"/>
      <c r="AW41" s="92"/>
      <c r="AX41" s="92"/>
      <c r="AY41" s="92"/>
      <c r="AZ41" s="92"/>
      <c r="BA41" s="65"/>
      <c r="BC41" s="65"/>
      <c r="BD41" s="90"/>
      <c r="BE41" s="85"/>
      <c r="BF41" s="92"/>
      <c r="BG41" s="92"/>
      <c r="BH41" s="92"/>
      <c r="BI41" s="92"/>
      <c r="BJ41" s="65"/>
      <c r="BL41" s="65"/>
      <c r="BM41" s="90"/>
      <c r="BN41" s="85"/>
      <c r="BO41" s="92"/>
      <c r="BP41" s="92"/>
      <c r="BQ41" s="92"/>
      <c r="BR41" s="92"/>
      <c r="BS41" s="65"/>
      <c r="BU41" s="65"/>
      <c r="BV41" s="90"/>
      <c r="BW41" s="85"/>
      <c r="BX41" s="92"/>
      <c r="BY41" s="92"/>
      <c r="BZ41" s="92"/>
      <c r="CA41" s="92"/>
      <c r="CB41" s="65"/>
      <c r="CD41" s="65"/>
      <c r="CE41" s="90"/>
      <c r="CF41" s="85"/>
      <c r="CG41" s="92"/>
      <c r="CH41" s="92"/>
      <c r="CI41" s="92"/>
      <c r="CJ41" s="92"/>
      <c r="CK41" s="65"/>
      <c r="CM41" s="370"/>
      <c r="CN41" s="386"/>
      <c r="CO41" s="383"/>
      <c r="CP41" s="382"/>
      <c r="CQ41" s="382"/>
      <c r="CR41" s="382"/>
      <c r="CS41" s="382"/>
      <c r="CT41" s="370"/>
    </row>
    <row r="42" spans="1:98" ht="18" x14ac:dyDescent="0.35">
      <c r="A42" s="20"/>
      <c r="B42" s="95"/>
      <c r="C42" s="95"/>
      <c r="D42" s="95"/>
      <c r="E42" s="95"/>
      <c r="F42" s="95"/>
      <c r="G42" s="111"/>
      <c r="H42" s="20"/>
      <c r="J42" s="20"/>
      <c r="K42" s="95"/>
      <c r="L42" s="95"/>
      <c r="M42" s="95"/>
      <c r="N42" s="95"/>
      <c r="O42" s="95"/>
      <c r="P42" s="111"/>
      <c r="Q42" s="20"/>
      <c r="S42" s="20"/>
      <c r="T42" s="95"/>
      <c r="U42" s="95"/>
      <c r="V42" s="95"/>
      <c r="W42" s="95"/>
      <c r="X42" s="95"/>
      <c r="Y42" s="111"/>
      <c r="Z42" s="20"/>
      <c r="AB42" s="20"/>
      <c r="AC42" s="95"/>
      <c r="AD42" s="95"/>
      <c r="AE42" s="95"/>
      <c r="AF42" s="95"/>
      <c r="AG42" s="95"/>
      <c r="AH42" s="111"/>
      <c r="AI42" s="20"/>
      <c r="AK42" s="20"/>
      <c r="AL42" s="95"/>
      <c r="AM42" s="95"/>
      <c r="AN42" s="95"/>
      <c r="AO42" s="95"/>
      <c r="AP42" s="95"/>
      <c r="AQ42" s="111"/>
      <c r="AR42" s="20"/>
      <c r="AT42" s="20"/>
      <c r="AU42" s="95"/>
      <c r="AV42" s="95"/>
      <c r="AW42" s="95"/>
      <c r="AX42" s="95"/>
      <c r="AY42" s="95"/>
      <c r="AZ42" s="111"/>
      <c r="BA42" s="20"/>
      <c r="BC42" s="20"/>
      <c r="BD42" s="95"/>
      <c r="BE42" s="95"/>
      <c r="BF42" s="95"/>
      <c r="BG42" s="95"/>
      <c r="BH42" s="95"/>
      <c r="BI42" s="111"/>
      <c r="BJ42" s="20"/>
      <c r="BL42" s="20"/>
      <c r="BM42" s="95"/>
      <c r="BN42" s="95"/>
      <c r="BO42" s="95"/>
      <c r="BP42" s="95"/>
      <c r="BQ42" s="95"/>
      <c r="BR42" s="111"/>
      <c r="BS42" s="20"/>
      <c r="BU42" s="20"/>
      <c r="BV42" s="95"/>
      <c r="BW42" s="95"/>
      <c r="BX42" s="95"/>
      <c r="BY42" s="95"/>
      <c r="BZ42" s="95"/>
      <c r="CA42" s="111"/>
      <c r="CB42" s="20"/>
      <c r="CD42" s="20"/>
      <c r="CE42" s="95"/>
      <c r="CF42" s="95"/>
      <c r="CG42" s="95"/>
      <c r="CH42" s="95"/>
      <c r="CI42" s="95"/>
      <c r="CJ42" s="111"/>
      <c r="CK42" s="20"/>
      <c r="CM42" s="370"/>
      <c r="CN42" s="386"/>
      <c r="CO42" s="386"/>
      <c r="CP42" s="382"/>
      <c r="CQ42" s="382"/>
      <c r="CR42" s="382"/>
      <c r="CS42" s="382"/>
      <c r="CT42" s="370"/>
    </row>
    <row r="43" spans="1:98" ht="18" x14ac:dyDescent="0.3">
      <c r="A43" s="65"/>
      <c r="B43" s="75" t="s">
        <v>330</v>
      </c>
      <c r="C43" s="100" t="s">
        <v>344</v>
      </c>
      <c r="D43" s="77"/>
      <c r="E43" s="77"/>
      <c r="F43" s="77"/>
      <c r="G43" s="77"/>
      <c r="H43" s="65"/>
      <c r="J43" s="65"/>
      <c r="K43" s="75" t="s">
        <v>330</v>
      </c>
      <c r="L43" s="100" t="s">
        <v>344</v>
      </c>
      <c r="M43" s="77"/>
      <c r="N43" s="77"/>
      <c r="O43" s="77"/>
      <c r="P43" s="77"/>
      <c r="Q43" s="65"/>
      <c r="S43" s="65"/>
      <c r="T43" s="75" t="s">
        <v>330</v>
      </c>
      <c r="U43" s="100" t="s">
        <v>344</v>
      </c>
      <c r="V43" s="77"/>
      <c r="W43" s="77"/>
      <c r="X43" s="77"/>
      <c r="Y43" s="77"/>
      <c r="Z43" s="65"/>
      <c r="AB43" s="65"/>
      <c r="AC43" s="75" t="s">
        <v>330</v>
      </c>
      <c r="AD43" s="100" t="s">
        <v>344</v>
      </c>
      <c r="AE43" s="77"/>
      <c r="AF43" s="77"/>
      <c r="AG43" s="77"/>
      <c r="AH43" s="77"/>
      <c r="AI43" s="65"/>
      <c r="AK43" s="65"/>
      <c r="AL43" s="75" t="s">
        <v>330</v>
      </c>
      <c r="AM43" s="100" t="s">
        <v>344</v>
      </c>
      <c r="AN43" s="77"/>
      <c r="AO43" s="77"/>
      <c r="AP43" s="77"/>
      <c r="AQ43" s="77"/>
      <c r="AR43" s="65"/>
      <c r="AT43" s="65"/>
      <c r="AU43" s="75" t="s">
        <v>330</v>
      </c>
      <c r="AV43" s="100" t="s">
        <v>344</v>
      </c>
      <c r="AW43" s="77"/>
      <c r="AX43" s="77"/>
      <c r="AY43" s="77"/>
      <c r="AZ43" s="77"/>
      <c r="BA43" s="65"/>
      <c r="BC43" s="65"/>
      <c r="BD43" s="75" t="s">
        <v>330</v>
      </c>
      <c r="BE43" s="100" t="s">
        <v>344</v>
      </c>
      <c r="BF43" s="77"/>
      <c r="BG43" s="77"/>
      <c r="BH43" s="77"/>
      <c r="BI43" s="77"/>
      <c r="BJ43" s="65"/>
      <c r="BL43" s="65"/>
      <c r="BM43" s="75" t="s">
        <v>330</v>
      </c>
      <c r="BN43" s="100" t="s">
        <v>344</v>
      </c>
      <c r="BO43" s="77"/>
      <c r="BP43" s="77"/>
      <c r="BQ43" s="77"/>
      <c r="BR43" s="77"/>
      <c r="BS43" s="65"/>
      <c r="BU43" s="65"/>
      <c r="BV43" s="75" t="s">
        <v>330</v>
      </c>
      <c r="BW43" s="100" t="s">
        <v>344</v>
      </c>
      <c r="BX43" s="77"/>
      <c r="BY43" s="77"/>
      <c r="BZ43" s="77"/>
      <c r="CA43" s="77"/>
      <c r="CB43" s="65"/>
      <c r="CD43" s="65"/>
      <c r="CE43" s="75" t="s">
        <v>330</v>
      </c>
      <c r="CF43" s="100" t="s">
        <v>344</v>
      </c>
      <c r="CG43" s="77"/>
      <c r="CH43" s="77"/>
      <c r="CI43" s="77"/>
      <c r="CJ43" s="77"/>
      <c r="CK43" s="65"/>
      <c r="CM43" s="370"/>
      <c r="CN43" s="377" t="s">
        <v>330</v>
      </c>
      <c r="CO43" s="389" t="s">
        <v>344</v>
      </c>
      <c r="CP43" s="379">
        <f>IF($CS$3="yes",(SUM(CP44,CP45,CP52)/1),(SUM(CP44:CP50)/1))</f>
        <v>4.4182955789999999E-4</v>
      </c>
      <c r="CQ43" s="379">
        <f>IF($CS$3="yes",(SUM(CQ44,CQ45,CQ52)/1),(SUM(CQ44:CQ50)/1))</f>
        <v>4.4844262000000003E-5</v>
      </c>
      <c r="CR43" s="379">
        <f>IF($CS$3="yes",(SUM(CR44,CR45,CR52)/1),(SUM(CR44:CR50)/1))</f>
        <v>0</v>
      </c>
      <c r="CS43" s="379">
        <f>IF($CS$3="yes",(SUM(CS44,CS45,CS52)/1),(SUM(CS44:CS50)/1))</f>
        <v>4.8667381990000002E-4</v>
      </c>
      <c r="CT43" s="370"/>
    </row>
    <row r="44" spans="1:98" ht="18" x14ac:dyDescent="0.35">
      <c r="A44" s="65"/>
      <c r="B44" s="90"/>
      <c r="C44" s="80" t="s">
        <v>13</v>
      </c>
      <c r="D44" s="81">
        <v>1.0884976299999999E-4</v>
      </c>
      <c r="E44" s="81"/>
      <c r="F44" s="81"/>
      <c r="G44" s="81">
        <f>D44+E44+F44</f>
        <v>1.0884976299999999E-4</v>
      </c>
      <c r="H44" s="65"/>
      <c r="J44" s="65"/>
      <c r="K44" s="90"/>
      <c r="L44" s="80" t="s">
        <v>13</v>
      </c>
      <c r="M44" s="81">
        <v>1.8306426E-4</v>
      </c>
      <c r="N44" s="81">
        <v>6.1021421000000002E-5</v>
      </c>
      <c r="O44" s="81"/>
      <c r="P44" s="81">
        <f>M44+N44+O44</f>
        <v>2.4408568099999999E-4</v>
      </c>
      <c r="Q44" s="65"/>
      <c r="S44" s="65"/>
      <c r="T44" s="90"/>
      <c r="U44" s="80" t="s">
        <v>13</v>
      </c>
      <c r="V44" s="81">
        <v>-2.4607344999999998E-6</v>
      </c>
      <c r="W44" s="81"/>
      <c r="X44" s="81"/>
      <c r="Y44" s="81">
        <f>V44+W44+X44</f>
        <v>-2.4607344999999998E-6</v>
      </c>
      <c r="Z44" s="65"/>
      <c r="AB44" s="65"/>
      <c r="AC44" s="90"/>
      <c r="AD44" s="80" t="s">
        <v>13</v>
      </c>
      <c r="AE44" s="81">
        <v>-1.6404896999999999E-6</v>
      </c>
      <c r="AF44" s="81">
        <v>1.3525611E-5</v>
      </c>
      <c r="AG44" s="81"/>
      <c r="AH44" s="81">
        <f>AE44+AF44+AG44</f>
        <v>1.18851213E-5</v>
      </c>
      <c r="AI44" s="65"/>
      <c r="AK44" s="65"/>
      <c r="AL44" s="90"/>
      <c r="AM44" s="80" t="s">
        <v>13</v>
      </c>
      <c r="AN44" s="81">
        <v>1.7408504000000001E-3</v>
      </c>
      <c r="AO44" s="81">
        <v>1.2204284E-4</v>
      </c>
      <c r="AP44" s="81"/>
      <c r="AQ44" s="81">
        <f>AN44+AO44+AP44</f>
        <v>1.8628932400000001E-3</v>
      </c>
      <c r="AR44" s="65"/>
      <c r="AT44" s="65"/>
      <c r="AU44" s="90"/>
      <c r="AV44" s="80" t="s">
        <v>13</v>
      </c>
      <c r="AW44" s="81">
        <v>3.6612853000000001E-4</v>
      </c>
      <c r="AX44" s="81"/>
      <c r="AY44" s="81"/>
      <c r="AZ44" s="81">
        <f>AW44+AX44+AY44</f>
        <v>3.6612853000000001E-4</v>
      </c>
      <c r="BA44" s="65"/>
      <c r="BC44" s="65"/>
      <c r="BD44" s="90"/>
      <c r="BE44" s="80" t="s">
        <v>13</v>
      </c>
      <c r="BF44" s="81">
        <v>8.1153668999999997E-5</v>
      </c>
      <c r="BG44" s="81">
        <v>4.4844262000000003E-5</v>
      </c>
      <c r="BH44" s="81"/>
      <c r="BI44" s="81">
        <f>BF44+BG44+BH44</f>
        <v>1.25997931E-4</v>
      </c>
      <c r="BJ44" s="65"/>
      <c r="BL44" s="65"/>
      <c r="BM44" s="90"/>
      <c r="BN44" s="80" t="s">
        <v>13</v>
      </c>
      <c r="BO44" s="81">
        <v>2.7051222999999999E-5</v>
      </c>
      <c r="BP44" s="81"/>
      <c r="BQ44" s="81"/>
      <c r="BR44" s="81">
        <f>BO44+BP44+BQ44</f>
        <v>2.7051222999999999E-5</v>
      </c>
      <c r="BS44" s="65"/>
      <c r="BU44" s="65"/>
      <c r="BV44" s="90"/>
      <c r="BW44" s="80" t="s">
        <v>13</v>
      </c>
      <c r="BX44" s="81">
        <v>2.4408569000000001E-4</v>
      </c>
      <c r="BY44" s="81">
        <f>BG44</f>
        <v>4.4844262000000003E-5</v>
      </c>
      <c r="BZ44" s="81"/>
      <c r="CA44" s="81">
        <f>BX44+BY44+BZ44</f>
        <v>2.8892995200000004E-4</v>
      </c>
      <c r="CB44" s="65"/>
      <c r="CD44" s="65"/>
      <c r="CE44" s="90"/>
      <c r="CF44" s="80" t="s">
        <v>13</v>
      </c>
      <c r="CG44" s="81">
        <v>8.9711597000000009E-5</v>
      </c>
      <c r="CH44" s="81">
        <v>3.7370217999999999E-5</v>
      </c>
      <c r="CI44" s="81"/>
      <c r="CJ44" s="81">
        <f>CG44+CH44+CI44</f>
        <v>1.2708181500000002E-4</v>
      </c>
      <c r="CK44" s="65"/>
      <c r="CM44" s="370"/>
      <c r="CN44" s="386"/>
      <c r="CO44" s="381" t="s">
        <v>13</v>
      </c>
      <c r="CP44" s="382">
        <f>HLOOKUP($CP$2,D$3:CK$106,42,FALSE)</f>
        <v>2.4408569000000001E-4</v>
      </c>
      <c r="CQ44" s="382">
        <f>HLOOKUP($CQ$2,D$3:CK$106,42,FALSE)</f>
        <v>4.4844262000000003E-5</v>
      </c>
      <c r="CR44" s="382">
        <f>HLOOKUP($CR$2,D$3:CK$106,42,FALSE)</f>
        <v>0</v>
      </c>
      <c r="CS44" s="382">
        <f>HLOOKUP($CS$2,D$3:CK$106,42,FALSE)</f>
        <v>2.8892995200000004E-4</v>
      </c>
      <c r="CT44" s="370"/>
    </row>
    <row r="45" spans="1:98" ht="18" x14ac:dyDescent="0.35">
      <c r="A45" s="65"/>
      <c r="B45" s="90"/>
      <c r="C45" s="80" t="s">
        <v>306</v>
      </c>
      <c r="D45" s="81">
        <v>4.9821411000000001E-5</v>
      </c>
      <c r="E45" s="81"/>
      <c r="F45" s="81"/>
      <c r="G45" s="81">
        <f t="shared" ref="G45:G52" si="88">D45+E45+F45</f>
        <v>4.9821411000000001E-5</v>
      </c>
      <c r="H45" s="65"/>
      <c r="J45" s="65"/>
      <c r="K45" s="90"/>
      <c r="L45" s="80" t="s">
        <v>306</v>
      </c>
      <c r="M45" s="81">
        <v>2.8499172000000002E-6</v>
      </c>
      <c r="N45" s="81">
        <v>9.4328246000000004E-7</v>
      </c>
      <c r="O45" s="81"/>
      <c r="P45" s="81">
        <f t="shared" ref="P45:P52" si="89">M45+N45+O45</f>
        <v>3.7931996600000004E-6</v>
      </c>
      <c r="Q45" s="65"/>
      <c r="S45" s="65"/>
      <c r="T45" s="90"/>
      <c r="U45" s="80" t="s">
        <v>306</v>
      </c>
      <c r="V45" s="81">
        <v>6.2617899000000001E-6</v>
      </c>
      <c r="W45" s="81"/>
      <c r="X45" s="81"/>
      <c r="Y45" s="81">
        <f t="shared" ref="Y45" si="90">V45+W45+X45</f>
        <v>6.2617899000000001E-6</v>
      </c>
      <c r="Z45" s="65"/>
      <c r="AB45" s="65"/>
      <c r="AC45" s="90"/>
      <c r="AD45" s="80" t="s">
        <v>306</v>
      </c>
      <c r="AE45" s="81">
        <v>4.2146662999999998E-6</v>
      </c>
      <c r="AF45" s="81">
        <v>9.4328245000000001E-7</v>
      </c>
      <c r="AG45" s="81"/>
      <c r="AH45" s="81">
        <f t="shared" ref="AH45" si="91">AE45+AF45+AG45</f>
        <v>5.1579487500000002E-6</v>
      </c>
      <c r="AI45" s="65"/>
      <c r="AK45" s="65"/>
      <c r="AL45" s="90"/>
      <c r="AM45" s="80" t="s">
        <v>306</v>
      </c>
      <c r="AN45" s="81">
        <v>6.6737831999999996E-4</v>
      </c>
      <c r="AO45" s="81">
        <v>2.006984E-6</v>
      </c>
      <c r="AP45" s="81"/>
      <c r="AQ45" s="81">
        <f t="shared" ref="AQ45" si="92">AN45+AO45+AP45</f>
        <v>6.6938530399999997E-4</v>
      </c>
      <c r="AR45" s="65"/>
      <c r="AT45" s="65"/>
      <c r="AU45" s="90"/>
      <c r="AV45" s="80" t="s">
        <v>306</v>
      </c>
      <c r="AW45" s="81">
        <v>6.0209519E-6</v>
      </c>
      <c r="AX45" s="81"/>
      <c r="AY45" s="81"/>
      <c r="AZ45" s="81">
        <f t="shared" ref="AZ45" si="93">AW45+AX45+AY45</f>
        <v>6.0209519E-6</v>
      </c>
      <c r="BA45" s="65"/>
      <c r="BC45" s="65"/>
      <c r="BD45" s="90"/>
      <c r="BE45" s="80" t="s">
        <v>306</v>
      </c>
      <c r="BF45" s="81">
        <v>6.3219994000000001E-6</v>
      </c>
      <c r="BG45" s="81"/>
      <c r="BH45" s="81"/>
      <c r="BI45" s="81">
        <f t="shared" ref="BI45" si="94">BF45+BG45+BH45</f>
        <v>6.3219994000000001E-6</v>
      </c>
      <c r="BJ45" s="65"/>
      <c r="BL45" s="65"/>
      <c r="BM45" s="90"/>
      <c r="BN45" s="80" t="s">
        <v>306</v>
      </c>
      <c r="BO45" s="81">
        <v>2.0069839000000001E-6</v>
      </c>
      <c r="BP45" s="81"/>
      <c r="BQ45" s="81"/>
      <c r="BR45" s="81">
        <f t="shared" ref="BR45" si="95">BO45+BP45+BQ45</f>
        <v>2.0069839000000001E-6</v>
      </c>
      <c r="BS45" s="65"/>
      <c r="BU45" s="65"/>
      <c r="BV45" s="90"/>
      <c r="BW45" s="80" t="s">
        <v>306</v>
      </c>
      <c r="BX45" s="81">
        <v>4.0139679E-6</v>
      </c>
      <c r="BY45" s="81"/>
      <c r="BZ45" s="81"/>
      <c r="CA45" s="81">
        <f t="shared" ref="CA45" si="96">BX45+BY45+BZ45</f>
        <v>4.0139679E-6</v>
      </c>
      <c r="CB45" s="65"/>
      <c r="CD45" s="65"/>
      <c r="CE45" s="90"/>
      <c r="CF45" s="80" t="s">
        <v>306</v>
      </c>
      <c r="CG45" s="81">
        <v>4.1417798999999999E-5</v>
      </c>
      <c r="CH45" s="81"/>
      <c r="CI45" s="81"/>
      <c r="CJ45" s="81">
        <f t="shared" ref="CJ45" si="97">CG45+CH45+CI45</f>
        <v>4.1417798999999999E-5</v>
      </c>
      <c r="CK45" s="65"/>
      <c r="CM45" s="370"/>
      <c r="CN45" s="386"/>
      <c r="CO45" s="381" t="s">
        <v>306</v>
      </c>
      <c r="CP45" s="382">
        <f>HLOOKUP($CP$2,D$3:CK$106,43,FALSE)</f>
        <v>4.0139679E-6</v>
      </c>
      <c r="CQ45" s="382">
        <f>HLOOKUP($CQ$2,D$3:CK$106,43,FALSE)</f>
        <v>0</v>
      </c>
      <c r="CR45" s="382">
        <f>HLOOKUP($CR$2,D$3:CK$106,43,FALSE)</f>
        <v>0</v>
      </c>
      <c r="CS45" s="382">
        <f>HLOOKUP($CS$2,D$3:CK$106,43,FALSE)</f>
        <v>4.0139679E-6</v>
      </c>
      <c r="CT45" s="370"/>
    </row>
    <row r="46" spans="1:98" ht="18" x14ac:dyDescent="0.35">
      <c r="A46" s="65"/>
      <c r="B46" s="90"/>
      <c r="C46" s="80" t="s">
        <v>312</v>
      </c>
      <c r="D46" s="81" t="s">
        <v>19</v>
      </c>
      <c r="E46" s="81" t="s">
        <v>19</v>
      </c>
      <c r="F46" s="81" t="s">
        <v>19</v>
      </c>
      <c r="G46" s="81" t="s">
        <v>19</v>
      </c>
      <c r="H46" s="65"/>
      <c r="J46" s="65"/>
      <c r="K46" s="90"/>
      <c r="L46" s="80" t="s">
        <v>312</v>
      </c>
      <c r="M46" s="81" t="s">
        <v>19</v>
      </c>
      <c r="N46" s="81" t="s">
        <v>19</v>
      </c>
      <c r="O46" s="81" t="s">
        <v>19</v>
      </c>
      <c r="P46" s="81" t="s">
        <v>19</v>
      </c>
      <c r="Q46" s="65"/>
      <c r="S46" s="65"/>
      <c r="T46" s="90"/>
      <c r="U46" s="80" t="s">
        <v>312</v>
      </c>
      <c r="V46" s="81" t="s">
        <v>19</v>
      </c>
      <c r="W46" s="81" t="s">
        <v>19</v>
      </c>
      <c r="X46" s="81" t="s">
        <v>19</v>
      </c>
      <c r="Y46" s="81" t="s">
        <v>19</v>
      </c>
      <c r="Z46" s="65"/>
      <c r="AB46" s="65"/>
      <c r="AC46" s="90"/>
      <c r="AD46" s="80" t="s">
        <v>312</v>
      </c>
      <c r="AE46" s="81" t="s">
        <v>19</v>
      </c>
      <c r="AF46" s="81" t="s">
        <v>19</v>
      </c>
      <c r="AG46" s="81" t="s">
        <v>19</v>
      </c>
      <c r="AH46" s="81" t="s">
        <v>19</v>
      </c>
      <c r="AI46" s="65"/>
      <c r="AK46" s="65"/>
      <c r="AL46" s="90"/>
      <c r="AM46" s="80" t="s">
        <v>312</v>
      </c>
      <c r="AN46" s="81" t="s">
        <v>19</v>
      </c>
      <c r="AO46" s="81" t="s">
        <v>19</v>
      </c>
      <c r="AP46" s="81" t="s">
        <v>19</v>
      </c>
      <c r="AQ46" s="81" t="s">
        <v>19</v>
      </c>
      <c r="AR46" s="65"/>
      <c r="AT46" s="65"/>
      <c r="AU46" s="90"/>
      <c r="AV46" s="80" t="s">
        <v>312</v>
      </c>
      <c r="AW46" s="81" t="s">
        <v>19</v>
      </c>
      <c r="AX46" s="81" t="s">
        <v>19</v>
      </c>
      <c r="AY46" s="81" t="s">
        <v>19</v>
      </c>
      <c r="AZ46" s="81" t="s">
        <v>19</v>
      </c>
      <c r="BA46" s="65"/>
      <c r="BC46" s="65"/>
      <c r="BD46" s="90"/>
      <c r="BE46" s="80" t="s">
        <v>312</v>
      </c>
      <c r="BF46" s="81" t="s">
        <v>19</v>
      </c>
      <c r="BG46" s="81" t="s">
        <v>19</v>
      </c>
      <c r="BH46" s="81" t="s">
        <v>19</v>
      </c>
      <c r="BI46" s="81" t="s">
        <v>19</v>
      </c>
      <c r="BJ46" s="65"/>
      <c r="BL46" s="65"/>
      <c r="BM46" s="90"/>
      <c r="BN46" s="80" t="s">
        <v>312</v>
      </c>
      <c r="BO46" s="81" t="s">
        <v>19</v>
      </c>
      <c r="BP46" s="81" t="s">
        <v>19</v>
      </c>
      <c r="BQ46" s="81" t="s">
        <v>19</v>
      </c>
      <c r="BR46" s="81" t="s">
        <v>19</v>
      </c>
      <c r="BS46" s="65"/>
      <c r="BU46" s="65"/>
      <c r="BV46" s="90"/>
      <c r="BW46" s="80" t="s">
        <v>312</v>
      </c>
      <c r="BX46" s="81" t="s">
        <v>19</v>
      </c>
      <c r="BY46" s="81" t="s">
        <v>19</v>
      </c>
      <c r="BZ46" s="81" t="s">
        <v>19</v>
      </c>
      <c r="CA46" s="81" t="s">
        <v>19</v>
      </c>
      <c r="CB46" s="65"/>
      <c r="CD46" s="65"/>
      <c r="CE46" s="90"/>
      <c r="CF46" s="80" t="s">
        <v>312</v>
      </c>
      <c r="CG46" s="81" t="s">
        <v>19</v>
      </c>
      <c r="CH46" s="81" t="s">
        <v>19</v>
      </c>
      <c r="CI46" s="81" t="s">
        <v>19</v>
      </c>
      <c r="CJ46" s="81" t="s">
        <v>19</v>
      </c>
      <c r="CK46" s="65"/>
      <c r="CM46" s="370"/>
      <c r="CN46" s="386"/>
      <c r="CO46" s="381" t="s">
        <v>312</v>
      </c>
      <c r="CP46" s="382" t="str">
        <f>HLOOKUP($CP$2,D$3:CK$106,44,FALSE)</f>
        <v>x</v>
      </c>
      <c r="CQ46" s="382" t="str">
        <f>HLOOKUP($CQ$2,D$3:CK$106,44,FALSE)</f>
        <v>x</v>
      </c>
      <c r="CR46" s="382" t="str">
        <f>HLOOKUP($CR$2,D$3:CK$106,44,FALSE)</f>
        <v>x</v>
      </c>
      <c r="CS46" s="382" t="str">
        <f>HLOOKUP($CS$2,D$3:CK$106,44,FALSE)</f>
        <v>x</v>
      </c>
      <c r="CT46" s="370"/>
    </row>
    <row r="47" spans="1:98" ht="18" x14ac:dyDescent="0.35">
      <c r="A47" s="65"/>
      <c r="B47" s="90"/>
      <c r="C47" s="80" t="s">
        <v>314</v>
      </c>
      <c r="D47" s="81" t="s">
        <v>19</v>
      </c>
      <c r="E47" s="81" t="s">
        <v>19</v>
      </c>
      <c r="F47" s="81" t="s">
        <v>19</v>
      </c>
      <c r="G47" s="81" t="s">
        <v>19</v>
      </c>
      <c r="H47" s="65"/>
      <c r="J47" s="65"/>
      <c r="K47" s="90"/>
      <c r="L47" s="80" t="s">
        <v>314</v>
      </c>
      <c r="M47" s="81" t="s">
        <v>19</v>
      </c>
      <c r="N47" s="81" t="s">
        <v>19</v>
      </c>
      <c r="O47" s="81" t="s">
        <v>19</v>
      </c>
      <c r="P47" s="81" t="s">
        <v>19</v>
      </c>
      <c r="Q47" s="65"/>
      <c r="S47" s="65"/>
      <c r="T47" s="90"/>
      <c r="U47" s="80" t="s">
        <v>314</v>
      </c>
      <c r="V47" s="81" t="s">
        <v>19</v>
      </c>
      <c r="W47" s="81" t="s">
        <v>19</v>
      </c>
      <c r="X47" s="81" t="s">
        <v>19</v>
      </c>
      <c r="Y47" s="81" t="s">
        <v>19</v>
      </c>
      <c r="Z47" s="65"/>
      <c r="AB47" s="65"/>
      <c r="AC47" s="90"/>
      <c r="AD47" s="80" t="s">
        <v>314</v>
      </c>
      <c r="AE47" s="81" t="s">
        <v>19</v>
      </c>
      <c r="AF47" s="81" t="s">
        <v>19</v>
      </c>
      <c r="AG47" s="81" t="s">
        <v>19</v>
      </c>
      <c r="AH47" s="81" t="s">
        <v>19</v>
      </c>
      <c r="AI47" s="65"/>
      <c r="AK47" s="65"/>
      <c r="AL47" s="90"/>
      <c r="AM47" s="80" t="s">
        <v>314</v>
      </c>
      <c r="AN47" s="81" t="s">
        <v>19</v>
      </c>
      <c r="AO47" s="81" t="s">
        <v>19</v>
      </c>
      <c r="AP47" s="81" t="s">
        <v>19</v>
      </c>
      <c r="AQ47" s="81" t="s">
        <v>19</v>
      </c>
      <c r="AR47" s="65"/>
      <c r="AT47" s="65"/>
      <c r="AU47" s="90"/>
      <c r="AV47" s="80" t="s">
        <v>314</v>
      </c>
      <c r="AW47" s="81" t="s">
        <v>19</v>
      </c>
      <c r="AX47" s="81" t="s">
        <v>19</v>
      </c>
      <c r="AY47" s="81" t="s">
        <v>19</v>
      </c>
      <c r="AZ47" s="81" t="s">
        <v>19</v>
      </c>
      <c r="BA47" s="65"/>
      <c r="BC47" s="65"/>
      <c r="BD47" s="90"/>
      <c r="BE47" s="80" t="s">
        <v>314</v>
      </c>
      <c r="BF47" s="81" t="s">
        <v>19</v>
      </c>
      <c r="BG47" s="81" t="s">
        <v>19</v>
      </c>
      <c r="BH47" s="81" t="s">
        <v>19</v>
      </c>
      <c r="BI47" s="81" t="s">
        <v>19</v>
      </c>
      <c r="BJ47" s="65"/>
      <c r="BL47" s="65"/>
      <c r="BM47" s="90"/>
      <c r="BN47" s="80" t="s">
        <v>314</v>
      </c>
      <c r="BO47" s="81" t="s">
        <v>19</v>
      </c>
      <c r="BP47" s="81" t="s">
        <v>19</v>
      </c>
      <c r="BQ47" s="81" t="s">
        <v>19</v>
      </c>
      <c r="BR47" s="81" t="s">
        <v>19</v>
      </c>
      <c r="BS47" s="65"/>
      <c r="BU47" s="65"/>
      <c r="BV47" s="90"/>
      <c r="BW47" s="80" t="s">
        <v>314</v>
      </c>
      <c r="BX47" s="81" t="s">
        <v>19</v>
      </c>
      <c r="BY47" s="81" t="s">
        <v>19</v>
      </c>
      <c r="BZ47" s="81" t="s">
        <v>19</v>
      </c>
      <c r="CA47" s="81" t="s">
        <v>19</v>
      </c>
      <c r="CB47" s="65"/>
      <c r="CD47" s="65"/>
      <c r="CE47" s="90"/>
      <c r="CF47" s="80" t="s">
        <v>314</v>
      </c>
      <c r="CG47" s="81" t="s">
        <v>19</v>
      </c>
      <c r="CH47" s="81" t="s">
        <v>19</v>
      </c>
      <c r="CI47" s="81" t="s">
        <v>19</v>
      </c>
      <c r="CJ47" s="81" t="s">
        <v>19</v>
      </c>
      <c r="CK47" s="65"/>
      <c r="CM47" s="370"/>
      <c r="CN47" s="386"/>
      <c r="CO47" s="381" t="s">
        <v>314</v>
      </c>
      <c r="CP47" s="382" t="str">
        <f>HLOOKUP($CP$2,D$3:CK$106,45,FALSE)</f>
        <v>x</v>
      </c>
      <c r="CQ47" s="382" t="str">
        <f>HLOOKUP($CQ$2,D$3:CK$106,45,FALSE)</f>
        <v>x</v>
      </c>
      <c r="CR47" s="382" t="str">
        <f>HLOOKUP($CR$2,D$3:CK$106,45,FALSE)</f>
        <v>x</v>
      </c>
      <c r="CS47" s="382" t="str">
        <f>HLOOKUP($CS$2,D$3:CK$106,45,FALSE)</f>
        <v>x</v>
      </c>
      <c r="CT47" s="370"/>
    </row>
    <row r="48" spans="1:98" ht="18" x14ac:dyDescent="0.35">
      <c r="A48" s="65"/>
      <c r="B48" s="90"/>
      <c r="C48" s="80" t="s">
        <v>320</v>
      </c>
      <c r="D48" s="358" t="e">
        <f>HLOOKUP($B$1,DGbaseF2V!$A$76:$S$92,9,0)*$B$2</f>
        <v>#N/A</v>
      </c>
      <c r="E48" s="81"/>
      <c r="F48" s="81"/>
      <c r="G48" s="81" t="e">
        <f t="shared" si="88"/>
        <v>#N/A</v>
      </c>
      <c r="H48" s="65"/>
      <c r="J48" s="65"/>
      <c r="K48" s="90"/>
      <c r="L48" s="80" t="s">
        <v>320</v>
      </c>
      <c r="M48" s="358" t="e">
        <f>HLOOKUP(K$1,DGbaseF2V!$A$76:$S$92,9,0)*K$2</f>
        <v>#N/A</v>
      </c>
      <c r="N48" s="81"/>
      <c r="O48" s="81"/>
      <c r="P48" s="81" t="e">
        <f t="shared" si="89"/>
        <v>#N/A</v>
      </c>
      <c r="Q48" s="65"/>
      <c r="S48" s="65"/>
      <c r="T48" s="90"/>
      <c r="U48" s="80" t="s">
        <v>320</v>
      </c>
      <c r="V48" s="358" t="e">
        <f>HLOOKUP(T$1,DGbaseF2V!$A$76:$S$92,9,0)*T$2</f>
        <v>#N/A</v>
      </c>
      <c r="W48" s="81"/>
      <c r="X48" s="81"/>
      <c r="Y48" s="81" t="e">
        <f t="shared" ref="Y48:Y50" si="98">V48+W48+X48</f>
        <v>#N/A</v>
      </c>
      <c r="Z48" s="65"/>
      <c r="AB48" s="65"/>
      <c r="AC48" s="90"/>
      <c r="AD48" s="80" t="s">
        <v>320</v>
      </c>
      <c r="AE48" s="358" t="e">
        <f>HLOOKUP(AC$1,DGbaseF2V!$A$76:$S$92,9,0)*AC$2</f>
        <v>#N/A</v>
      </c>
      <c r="AF48" s="81"/>
      <c r="AG48" s="81"/>
      <c r="AH48" s="81" t="e">
        <f t="shared" ref="AH48:AH50" si="99">AE48+AF48+AG48</f>
        <v>#N/A</v>
      </c>
      <c r="AI48" s="65"/>
      <c r="AK48" s="65"/>
      <c r="AL48" s="90"/>
      <c r="AM48" s="80" t="s">
        <v>320</v>
      </c>
      <c r="AN48" s="358" t="e">
        <f>HLOOKUP(AL$1,DGbaseF2V!$A$76:$S$92,9,0)*AL$2</f>
        <v>#N/A</v>
      </c>
      <c r="AO48" s="81"/>
      <c r="AP48" s="81"/>
      <c r="AQ48" s="81" t="e">
        <f t="shared" ref="AQ48:AQ50" si="100">AN48+AO48+AP48</f>
        <v>#N/A</v>
      </c>
      <c r="AR48" s="65"/>
      <c r="AT48" s="65"/>
      <c r="AU48" s="90"/>
      <c r="AV48" s="80" t="s">
        <v>320</v>
      </c>
      <c r="AW48" s="358" t="e">
        <f>HLOOKUP(AU$1,DGbaseF2V!$A$76:$S$92,9,0)*AU$2</f>
        <v>#N/A</v>
      </c>
      <c r="AX48" s="81"/>
      <c r="AY48" s="81"/>
      <c r="AZ48" s="81" t="e">
        <f t="shared" ref="AZ48:AZ50" si="101">AW48+AX48+AY48</f>
        <v>#N/A</v>
      </c>
      <c r="BA48" s="65"/>
      <c r="BC48" s="65"/>
      <c r="BD48" s="90"/>
      <c r="BE48" s="80" t="s">
        <v>320</v>
      </c>
      <c r="BF48" s="358" t="e">
        <f>HLOOKUP(BD$1,DGbaseF2V!$A$76:$S$92,9,0)*BD$2</f>
        <v>#N/A</v>
      </c>
      <c r="BG48" s="81"/>
      <c r="BH48" s="81"/>
      <c r="BI48" s="81" t="e">
        <f t="shared" ref="BI48:BI50" si="102">BF48+BG48+BH48</f>
        <v>#N/A</v>
      </c>
      <c r="BJ48" s="65"/>
      <c r="BL48" s="65"/>
      <c r="BM48" s="90"/>
      <c r="BN48" s="80" t="s">
        <v>320</v>
      </c>
      <c r="BO48" s="358" t="e">
        <f>HLOOKUP(BM$1,DGbaseF2V!$A$76:$S$92,9,0)*BM$2</f>
        <v>#N/A</v>
      </c>
      <c r="BP48" s="81"/>
      <c r="BQ48" s="81"/>
      <c r="BR48" s="81" t="e">
        <f t="shared" ref="BR48:BR50" si="103">BO48+BP48+BQ48</f>
        <v>#N/A</v>
      </c>
      <c r="BS48" s="65"/>
      <c r="BU48" s="65"/>
      <c r="BV48" s="90"/>
      <c r="BW48" s="80" t="s">
        <v>320</v>
      </c>
      <c r="BX48" s="358" t="e">
        <f>HLOOKUP(BV$1,DGbaseF2V!$A$76:$S$92,9,0)*BV$2</f>
        <v>#N/A</v>
      </c>
      <c r="BY48" s="81"/>
      <c r="BZ48" s="81"/>
      <c r="CA48" s="81" t="e">
        <f t="shared" ref="CA48:CA50" si="104">BX48+BY48+BZ48</f>
        <v>#N/A</v>
      </c>
      <c r="CB48" s="65"/>
      <c r="CD48" s="65"/>
      <c r="CE48" s="90"/>
      <c r="CF48" s="80" t="s">
        <v>320</v>
      </c>
      <c r="CG48" s="358" t="e">
        <f>HLOOKUP(CE$1,DGbaseF2V!$A$76:$S$92,9,0)*CE$2</f>
        <v>#N/A</v>
      </c>
      <c r="CH48" s="81"/>
      <c r="CI48" s="81"/>
      <c r="CJ48" s="81" t="e">
        <f t="shared" ref="CJ48:CJ50" si="105">CG48+CH48+CI48</f>
        <v>#N/A</v>
      </c>
      <c r="CK48" s="65"/>
      <c r="CM48" s="370"/>
      <c r="CN48" s="386"/>
      <c r="CO48" s="381" t="s">
        <v>320</v>
      </c>
      <c r="CP48" s="382" t="e">
        <f>HLOOKUP($CP$2,D$3:CK$106,46,FALSE)</f>
        <v>#N/A</v>
      </c>
      <c r="CQ48" s="382">
        <f>HLOOKUP($CQ$2,D$3:CK$106,46,FALSE)</f>
        <v>0</v>
      </c>
      <c r="CR48" s="382">
        <f>HLOOKUP($CR$2,D$3:CK$106,46,FALSE)</f>
        <v>0</v>
      </c>
      <c r="CS48" s="382" t="e">
        <f>HLOOKUP($CS$2,D$3:CK$106,46,FALSE)</f>
        <v>#N/A</v>
      </c>
      <c r="CT48" s="370"/>
    </row>
    <row r="49" spans="1:98" ht="18" x14ac:dyDescent="0.35">
      <c r="A49" s="65"/>
      <c r="B49" s="90"/>
      <c r="C49" s="80" t="s">
        <v>337</v>
      </c>
      <c r="D49" s="358">
        <f>HLOOKUP($B$1,DGbaseF2V!$A$58:$S$74,9,0)*$B$2</f>
        <v>-5.6880590000000002E-6</v>
      </c>
      <c r="E49" s="81"/>
      <c r="F49" s="81"/>
      <c r="G49" s="81">
        <f t="shared" si="88"/>
        <v>-5.6880590000000002E-6</v>
      </c>
      <c r="H49" s="65"/>
      <c r="J49" s="65"/>
      <c r="K49" s="90"/>
      <c r="L49" s="80" t="s">
        <v>337</v>
      </c>
      <c r="M49" s="358">
        <f>HLOOKUP(K$1,DGbaseF2V!$A$58:$S$74,9,0)*K$2</f>
        <v>-5.6880590000000002E-6</v>
      </c>
      <c r="N49" s="81"/>
      <c r="O49" s="81"/>
      <c r="P49" s="81">
        <f t="shared" si="89"/>
        <v>-5.6880590000000002E-6</v>
      </c>
      <c r="Q49" s="65"/>
      <c r="S49" s="65"/>
      <c r="T49" s="90"/>
      <c r="U49" s="80" t="s">
        <v>337</v>
      </c>
      <c r="V49" s="358">
        <f>HLOOKUP(T$1,DGbaseF2V!$A$58:$S$74,9,0)*T$2</f>
        <v>-1.0066219240000003E-5</v>
      </c>
      <c r="W49" s="81"/>
      <c r="X49" s="81"/>
      <c r="Y49" s="81">
        <f t="shared" si="98"/>
        <v>-1.0066219240000003E-5</v>
      </c>
      <c r="Z49" s="65"/>
      <c r="AB49" s="65"/>
      <c r="AC49" s="90"/>
      <c r="AD49" s="80" t="s">
        <v>337</v>
      </c>
      <c r="AE49" s="358">
        <f>HLOOKUP(AC$1,DGbaseF2V!$A$58:$S$74,9,0)*AC$2</f>
        <v>-8.2359975600000009E-6</v>
      </c>
      <c r="AF49" s="81"/>
      <c r="AG49" s="81"/>
      <c r="AH49" s="81">
        <f t="shared" si="99"/>
        <v>-8.2359975600000009E-6</v>
      </c>
      <c r="AI49" s="65"/>
      <c r="AK49" s="65"/>
      <c r="AL49" s="90"/>
      <c r="AM49" s="80" t="s">
        <v>337</v>
      </c>
      <c r="AN49" s="358">
        <f>HLOOKUP(AL$1,DGbaseF2V!$A$58:$S$74,9,0)*AL$2</f>
        <v>-4.8348501500000007E-5</v>
      </c>
      <c r="AO49" s="81"/>
      <c r="AP49" s="81"/>
      <c r="AQ49" s="81">
        <f t="shared" si="100"/>
        <v>-4.8348501500000007E-5</v>
      </c>
      <c r="AR49" s="65"/>
      <c r="AT49" s="65"/>
      <c r="AU49" s="90"/>
      <c r="AV49" s="80" t="s">
        <v>337</v>
      </c>
      <c r="AW49" s="358">
        <f>HLOOKUP(AU$1,DGbaseF2V!$A$58:$S$74,9,0)*AU$2</f>
        <v>-8.5320884999999994E-6</v>
      </c>
      <c r="AX49" s="81"/>
      <c r="AY49" s="81"/>
      <c r="AZ49" s="81">
        <f t="shared" si="101"/>
        <v>-8.5320884999999994E-6</v>
      </c>
      <c r="BA49" s="65"/>
      <c r="BC49" s="65"/>
      <c r="BD49" s="90"/>
      <c r="BE49" s="80" t="s">
        <v>337</v>
      </c>
      <c r="BF49" s="358">
        <f>HLOOKUP(BD$1,DGbaseF2V!$A$58:$S$74,9,0)*BD$2</f>
        <v>-9.3852973500000005E-6</v>
      </c>
      <c r="BG49" s="81"/>
      <c r="BH49" s="81"/>
      <c r="BI49" s="81">
        <f t="shared" si="102"/>
        <v>-9.3852973500000005E-6</v>
      </c>
      <c r="BJ49" s="65"/>
      <c r="BL49" s="65"/>
      <c r="BM49" s="90"/>
      <c r="BN49" s="80" t="s">
        <v>337</v>
      </c>
      <c r="BO49" s="358">
        <f>HLOOKUP(BM$1,DGbaseF2V!$A$58:$S$74,9,0)*BM$2</f>
        <v>-2.8440295000000001E-6</v>
      </c>
      <c r="BP49" s="81"/>
      <c r="BQ49" s="81"/>
      <c r="BR49" s="81">
        <f t="shared" si="103"/>
        <v>-2.8440295000000001E-6</v>
      </c>
      <c r="BS49" s="65"/>
      <c r="BU49" s="65"/>
      <c r="BV49" s="90"/>
      <c r="BW49" s="80" t="s">
        <v>337</v>
      </c>
      <c r="BX49" s="358">
        <f>HLOOKUP(BV$1,DGbaseF2V!$A$58:$S$74,9,0)*BV$2</f>
        <v>-5.6880590000000002E-6</v>
      </c>
      <c r="BY49" s="81"/>
      <c r="BZ49" s="81"/>
      <c r="CA49" s="81">
        <f t="shared" si="104"/>
        <v>-5.6880590000000002E-6</v>
      </c>
      <c r="CB49" s="65"/>
      <c r="CD49" s="65"/>
      <c r="CE49" s="90"/>
      <c r="CF49" s="80" t="s">
        <v>337</v>
      </c>
      <c r="CG49" s="358">
        <f>HLOOKUP(CE$1,DGbaseF2V!$A$58:$S$74,9,0)*CE$2</f>
        <v>-4.8348501500000007E-6</v>
      </c>
      <c r="CH49" s="81"/>
      <c r="CI49" s="81"/>
      <c r="CJ49" s="81">
        <f t="shared" si="105"/>
        <v>-4.8348501500000007E-6</v>
      </c>
      <c r="CK49" s="65"/>
      <c r="CM49" s="370"/>
      <c r="CN49" s="386"/>
      <c r="CO49" s="381" t="s">
        <v>337</v>
      </c>
      <c r="CP49" s="382">
        <f>HLOOKUP($CP$2,D$3:CK$106,47,FALSE)</f>
        <v>-5.6880590000000002E-6</v>
      </c>
      <c r="CQ49" s="382">
        <f>HLOOKUP($CQ$2,D$3:CK$106,47,FALSE)</f>
        <v>0</v>
      </c>
      <c r="CR49" s="382">
        <f>HLOOKUP($CR$2,D$3:CK$106,47,FALSE)</f>
        <v>0</v>
      </c>
      <c r="CS49" s="382">
        <f>HLOOKUP($CS$2,D$3:CK$106,47,FALSE)</f>
        <v>-5.6880590000000002E-6</v>
      </c>
      <c r="CT49" s="370"/>
    </row>
    <row r="50" spans="1:98" ht="18" x14ac:dyDescent="0.35">
      <c r="A50" s="65"/>
      <c r="B50" s="90"/>
      <c r="C50" s="80" t="s">
        <v>321</v>
      </c>
      <c r="D50" s="358" t="e">
        <f>HLOOKUP($B$1,DGbaseF2V!$A$22:$S$38,9,0)*$B$2</f>
        <v>#N/A</v>
      </c>
      <c r="E50" s="81"/>
      <c r="F50" s="81"/>
      <c r="G50" s="81" t="e">
        <f t="shared" si="88"/>
        <v>#N/A</v>
      </c>
      <c r="H50" s="65"/>
      <c r="J50" s="65"/>
      <c r="K50" s="90"/>
      <c r="L50" s="80" t="s">
        <v>321</v>
      </c>
      <c r="M50" s="358" t="e">
        <f>HLOOKUP(K$1,DGbaseF2V!$A$22:$S$38,9,0)*K$2</f>
        <v>#N/A</v>
      </c>
      <c r="N50" s="81"/>
      <c r="O50" s="81"/>
      <c r="P50" s="81" t="e">
        <f t="shared" si="89"/>
        <v>#N/A</v>
      </c>
      <c r="Q50" s="65"/>
      <c r="S50" s="65"/>
      <c r="T50" s="90"/>
      <c r="U50" s="80" t="s">
        <v>321</v>
      </c>
      <c r="V50" s="358" t="e">
        <f>HLOOKUP(T$1,DGbaseF2V!$A$22:$S$38,9,0)*T$2</f>
        <v>#N/A</v>
      </c>
      <c r="W50" s="81"/>
      <c r="X50" s="81"/>
      <c r="Y50" s="81" t="e">
        <f t="shared" si="98"/>
        <v>#N/A</v>
      </c>
      <c r="Z50" s="65"/>
      <c r="AB50" s="65"/>
      <c r="AC50" s="90"/>
      <c r="AD50" s="80" t="s">
        <v>321</v>
      </c>
      <c r="AE50" s="358" t="e">
        <f>HLOOKUP(AC$1,DGbaseF2V!$A$22:$S$38,9,0)*AC$2</f>
        <v>#N/A</v>
      </c>
      <c r="AF50" s="81"/>
      <c r="AG50" s="81"/>
      <c r="AH50" s="81" t="e">
        <f t="shared" si="99"/>
        <v>#N/A</v>
      </c>
      <c r="AI50" s="65"/>
      <c r="AK50" s="65"/>
      <c r="AL50" s="90"/>
      <c r="AM50" s="80" t="s">
        <v>321</v>
      </c>
      <c r="AN50" s="358" t="e">
        <f>HLOOKUP(AL$1,DGbaseF2V!$A$22:$S$38,9,0)*AL$2</f>
        <v>#N/A</v>
      </c>
      <c r="AO50" s="81"/>
      <c r="AP50" s="81"/>
      <c r="AQ50" s="81" t="e">
        <f t="shared" si="100"/>
        <v>#N/A</v>
      </c>
      <c r="AR50" s="65"/>
      <c r="AT50" s="65"/>
      <c r="AU50" s="90"/>
      <c r="AV50" s="80" t="s">
        <v>321</v>
      </c>
      <c r="AW50" s="358" t="e">
        <f>HLOOKUP(AU$1,DGbaseF2V!$A$22:$S$38,9,0)*AU$2</f>
        <v>#N/A</v>
      </c>
      <c r="AX50" s="81"/>
      <c r="AY50" s="81"/>
      <c r="AZ50" s="81" t="e">
        <f t="shared" si="101"/>
        <v>#N/A</v>
      </c>
      <c r="BA50" s="65"/>
      <c r="BC50" s="65"/>
      <c r="BD50" s="90"/>
      <c r="BE50" s="80" t="s">
        <v>321</v>
      </c>
      <c r="BF50" s="358">
        <f>HLOOKUP(BD$1,DGbaseF2V!$A$22:$S$38,9,0)*BD$2</f>
        <v>4.7071774200000004E-5</v>
      </c>
      <c r="BG50" s="81"/>
      <c r="BH50" s="81"/>
      <c r="BI50" s="81">
        <f t="shared" si="102"/>
        <v>4.7071774200000004E-5</v>
      </c>
      <c r="BJ50" s="65"/>
      <c r="BL50" s="65"/>
      <c r="BM50" s="90"/>
      <c r="BN50" s="80" t="s">
        <v>321</v>
      </c>
      <c r="BO50" s="358">
        <f>HLOOKUP(BM$1,DGbaseF2V!$A$22:$S$38,9,0)*BM$2</f>
        <v>1.4264174E-5</v>
      </c>
      <c r="BP50" s="81"/>
      <c r="BQ50" s="81"/>
      <c r="BR50" s="81">
        <f t="shared" si="103"/>
        <v>1.4264174E-5</v>
      </c>
      <c r="BS50" s="65"/>
      <c r="BU50" s="65"/>
      <c r="BV50" s="90"/>
      <c r="BW50" s="80" t="s">
        <v>321</v>
      </c>
      <c r="BX50" s="358" t="e">
        <f>HLOOKUP(BV$1,DGbaseF2V!$A$22:$S$38,9,0)*BV$2</f>
        <v>#N/A</v>
      </c>
      <c r="BY50" s="81"/>
      <c r="BZ50" s="81"/>
      <c r="CA50" s="81" t="e">
        <f t="shared" si="104"/>
        <v>#N/A</v>
      </c>
      <c r="CB50" s="65"/>
      <c r="CD50" s="65"/>
      <c r="CE50" s="90"/>
      <c r="CF50" s="80" t="s">
        <v>321</v>
      </c>
      <c r="CG50" s="358" t="e">
        <f>HLOOKUP(CE$1,DGbaseF2V!$A$22:$S$38,9,0)*CE$2</f>
        <v>#N/A</v>
      </c>
      <c r="CH50" s="81"/>
      <c r="CI50" s="81"/>
      <c r="CJ50" s="81" t="e">
        <f t="shared" si="105"/>
        <v>#N/A</v>
      </c>
      <c r="CK50" s="65"/>
      <c r="CM50" s="370"/>
      <c r="CN50" s="386"/>
      <c r="CO50" s="381" t="s">
        <v>321</v>
      </c>
      <c r="CP50" s="382" t="e">
        <f>HLOOKUP($CP$2,D$3:CK$106,48,FALSE)</f>
        <v>#N/A</v>
      </c>
      <c r="CQ50" s="382">
        <f>HLOOKUP($CQ$2,D$3:CK$106,48,FALSE)</f>
        <v>0</v>
      </c>
      <c r="CR50" s="382">
        <f>HLOOKUP($CR$2,D$3:CK$106,48,FALSE)</f>
        <v>0</v>
      </c>
      <c r="CS50" s="382" t="e">
        <f>HLOOKUP($CS$2,D$3:CK$106,48,FALSE)</f>
        <v>#N/A</v>
      </c>
      <c r="CT50" s="370"/>
    </row>
    <row r="51" spans="1:98" ht="18" x14ac:dyDescent="0.35">
      <c r="A51" s="65"/>
      <c r="B51" s="90"/>
      <c r="C51" s="80" t="s">
        <v>322</v>
      </c>
      <c r="D51" s="81" t="s">
        <v>19</v>
      </c>
      <c r="E51" s="81" t="s">
        <v>19</v>
      </c>
      <c r="F51" s="81" t="s">
        <v>19</v>
      </c>
      <c r="G51" s="81" t="s">
        <v>19</v>
      </c>
      <c r="H51" s="65"/>
      <c r="J51" s="65"/>
      <c r="K51" s="90"/>
      <c r="L51" s="80" t="s">
        <v>322</v>
      </c>
      <c r="M51" s="81" t="s">
        <v>19</v>
      </c>
      <c r="N51" s="81" t="s">
        <v>19</v>
      </c>
      <c r="O51" s="81" t="s">
        <v>19</v>
      </c>
      <c r="P51" s="81" t="s">
        <v>19</v>
      </c>
      <c r="Q51" s="65"/>
      <c r="S51" s="65"/>
      <c r="T51" s="90"/>
      <c r="U51" s="80" t="s">
        <v>322</v>
      </c>
      <c r="V51" s="81" t="s">
        <v>19</v>
      </c>
      <c r="W51" s="81" t="s">
        <v>19</v>
      </c>
      <c r="X51" s="81" t="s">
        <v>19</v>
      </c>
      <c r="Y51" s="81" t="s">
        <v>19</v>
      </c>
      <c r="Z51" s="65"/>
      <c r="AB51" s="65"/>
      <c r="AC51" s="90"/>
      <c r="AD51" s="80" t="s">
        <v>322</v>
      </c>
      <c r="AE51" s="81" t="s">
        <v>19</v>
      </c>
      <c r="AF51" s="81" t="s">
        <v>19</v>
      </c>
      <c r="AG51" s="81" t="s">
        <v>19</v>
      </c>
      <c r="AH51" s="81" t="s">
        <v>19</v>
      </c>
      <c r="AI51" s="65"/>
      <c r="AK51" s="65"/>
      <c r="AL51" s="90"/>
      <c r="AM51" s="80" t="s">
        <v>322</v>
      </c>
      <c r="AN51" s="81" t="s">
        <v>19</v>
      </c>
      <c r="AO51" s="81" t="s">
        <v>19</v>
      </c>
      <c r="AP51" s="81" t="s">
        <v>19</v>
      </c>
      <c r="AQ51" s="81" t="s">
        <v>19</v>
      </c>
      <c r="AR51" s="65"/>
      <c r="AT51" s="65"/>
      <c r="AU51" s="90"/>
      <c r="AV51" s="80" t="s">
        <v>322</v>
      </c>
      <c r="AW51" s="81" t="s">
        <v>19</v>
      </c>
      <c r="AX51" s="81" t="s">
        <v>19</v>
      </c>
      <c r="AY51" s="81" t="s">
        <v>19</v>
      </c>
      <c r="AZ51" s="81" t="s">
        <v>19</v>
      </c>
      <c r="BA51" s="65"/>
      <c r="BC51" s="65"/>
      <c r="BD51" s="90"/>
      <c r="BE51" s="80" t="s">
        <v>322</v>
      </c>
      <c r="BF51" s="81" t="s">
        <v>19</v>
      </c>
      <c r="BG51" s="81" t="s">
        <v>19</v>
      </c>
      <c r="BH51" s="81" t="s">
        <v>19</v>
      </c>
      <c r="BI51" s="81" t="s">
        <v>19</v>
      </c>
      <c r="BJ51" s="65"/>
      <c r="BL51" s="65"/>
      <c r="BM51" s="90"/>
      <c r="BN51" s="80" t="s">
        <v>322</v>
      </c>
      <c r="BO51" s="81" t="s">
        <v>19</v>
      </c>
      <c r="BP51" s="81" t="s">
        <v>19</v>
      </c>
      <c r="BQ51" s="81" t="s">
        <v>19</v>
      </c>
      <c r="BR51" s="81" t="s">
        <v>19</v>
      </c>
      <c r="BS51" s="65"/>
      <c r="BU51" s="65"/>
      <c r="BV51" s="90"/>
      <c r="BW51" s="80" t="s">
        <v>322</v>
      </c>
      <c r="BX51" s="81" t="s">
        <v>19</v>
      </c>
      <c r="BY51" s="81" t="s">
        <v>19</v>
      </c>
      <c r="BZ51" s="81" t="s">
        <v>19</v>
      </c>
      <c r="CA51" s="81" t="s">
        <v>19</v>
      </c>
      <c r="CB51" s="65"/>
      <c r="CD51" s="65"/>
      <c r="CE51" s="90"/>
      <c r="CF51" s="80" t="s">
        <v>322</v>
      </c>
      <c r="CG51" s="81" t="s">
        <v>19</v>
      </c>
      <c r="CH51" s="81" t="s">
        <v>19</v>
      </c>
      <c r="CI51" s="81" t="s">
        <v>19</v>
      </c>
      <c r="CJ51" s="81" t="s">
        <v>19</v>
      </c>
      <c r="CK51" s="65"/>
      <c r="CM51" s="370"/>
      <c r="CN51" s="386"/>
      <c r="CO51" s="381" t="s">
        <v>322</v>
      </c>
      <c r="CP51" s="382" t="str">
        <f>HLOOKUP($CP$2,D$3:CK$106,49,FALSE)</f>
        <v>x</v>
      </c>
      <c r="CQ51" s="382" t="str">
        <f>HLOOKUP($CQ$2,D$3:CK$106,49,FALSE)</f>
        <v>x</v>
      </c>
      <c r="CR51" s="382" t="str">
        <f>HLOOKUP($CR$2,D$3:CK$106,49,FALSE)</f>
        <v>x</v>
      </c>
      <c r="CS51" s="382" t="str">
        <f>HLOOKUP($CS$2,D$3:CK$106,49,FALSE)</f>
        <v>x</v>
      </c>
      <c r="CT51" s="370"/>
    </row>
    <row r="52" spans="1:98" ht="18" x14ac:dyDescent="0.35">
      <c r="A52" s="65"/>
      <c r="B52" s="90"/>
      <c r="C52" s="80" t="s">
        <v>339</v>
      </c>
      <c r="D52" s="358">
        <f>HLOOKUP($B$1,DGbaseF2V!$A$40:$S$56,9,0)*$B$2</f>
        <v>2.1881488000000002E-4</v>
      </c>
      <c r="E52" s="81"/>
      <c r="F52" s="81"/>
      <c r="G52" s="81">
        <f t="shared" si="88"/>
        <v>2.1881488000000002E-4</v>
      </c>
      <c r="H52" s="65"/>
      <c r="J52" s="65"/>
      <c r="K52" s="90"/>
      <c r="L52" s="80" t="s">
        <v>339</v>
      </c>
      <c r="M52" s="358">
        <f>HLOOKUP(K$1,DGbaseF2V!$A$40:$S$56,9,0)*K$2</f>
        <v>1.937299E-4</v>
      </c>
      <c r="N52" s="81"/>
      <c r="O52" s="81"/>
      <c r="P52" s="81">
        <f t="shared" si="89"/>
        <v>1.937299E-4</v>
      </c>
      <c r="Q52" s="65"/>
      <c r="S52" s="65"/>
      <c r="T52" s="90"/>
      <c r="U52" s="80" t="s">
        <v>339</v>
      </c>
      <c r="V52" s="358">
        <f>HLOOKUP(T$1,DGbaseF2V!$A$40:$S$56,9,0)*T$2</f>
        <v>2.9014037030000001E-4</v>
      </c>
      <c r="W52" s="81"/>
      <c r="X52" s="81"/>
      <c r="Y52" s="81">
        <f t="shared" ref="Y52" si="106">V52+W52+X52</f>
        <v>2.9014037030000001E-4</v>
      </c>
      <c r="Z52" s="65"/>
      <c r="AB52" s="65"/>
      <c r="AC52" s="90"/>
      <c r="AD52" s="80" t="s">
        <v>339</v>
      </c>
      <c r="AE52" s="358">
        <f>HLOOKUP(AC$1,DGbaseF2V!$A$40:$S$56,9,0)*AC$2</f>
        <v>2.3738757570000002E-4</v>
      </c>
      <c r="AF52" s="81"/>
      <c r="AG52" s="81"/>
      <c r="AH52" s="81">
        <f t="shared" ref="AH52" si="107">AE52+AF52+AG52</f>
        <v>2.3738757570000002E-4</v>
      </c>
      <c r="AI52" s="65"/>
      <c r="AK52" s="65"/>
      <c r="AL52" s="90"/>
      <c r="AM52" s="80" t="s">
        <v>339</v>
      </c>
      <c r="AN52" s="358">
        <f>HLOOKUP(AL$1,DGbaseF2V!$A$40:$S$56,9,0)*AL$2</f>
        <v>1.8599264800000003E-3</v>
      </c>
      <c r="AO52" s="81"/>
      <c r="AP52" s="81"/>
      <c r="AQ52" s="81">
        <f t="shared" ref="AQ52" si="108">AN52+AO52+AP52</f>
        <v>1.8599264800000003E-3</v>
      </c>
      <c r="AR52" s="65"/>
      <c r="AT52" s="65"/>
      <c r="AU52" s="90"/>
      <c r="AV52" s="80" t="s">
        <v>339</v>
      </c>
      <c r="AW52" s="358">
        <f>HLOOKUP(AU$1,DGbaseF2V!$A$40:$S$56,9,0)*AU$2</f>
        <v>2.9059484999999999E-4</v>
      </c>
      <c r="AX52" s="81"/>
      <c r="AY52" s="81"/>
      <c r="AZ52" s="81">
        <f t="shared" ref="AZ52" si="109">AW52+AX52+AY52</f>
        <v>2.9059484999999999E-4</v>
      </c>
      <c r="BA52" s="65"/>
      <c r="BC52" s="65"/>
      <c r="BD52" s="90"/>
      <c r="BE52" s="80" t="s">
        <v>339</v>
      </c>
      <c r="BF52" s="358">
        <f>HLOOKUP(BD$1,DGbaseF2V!$A$40:$S$56,9,0)*BD$2</f>
        <v>4.7071774200000004E-5</v>
      </c>
      <c r="BG52" s="81"/>
      <c r="BH52" s="81"/>
      <c r="BI52" s="81">
        <f t="shared" ref="BI52" si="110">BF52+BG52+BH52</f>
        <v>4.7071774200000004E-5</v>
      </c>
      <c r="BJ52" s="65"/>
      <c r="BL52" s="65"/>
      <c r="BM52" s="90"/>
      <c r="BN52" s="80" t="s">
        <v>339</v>
      </c>
      <c r="BO52" s="358">
        <f>HLOOKUP(BM$1,DGbaseF2V!$A$40:$S$56,9,0)*BM$2</f>
        <v>1.4264174E-5</v>
      </c>
      <c r="BP52" s="81"/>
      <c r="BQ52" s="81"/>
      <c r="BR52" s="81">
        <f t="shared" ref="BR52" si="111">BO52+BP52+BQ52</f>
        <v>1.4264174E-5</v>
      </c>
      <c r="BS52" s="65"/>
      <c r="BU52" s="65"/>
      <c r="BV52" s="90"/>
      <c r="BW52" s="80" t="s">
        <v>339</v>
      </c>
      <c r="BX52" s="358">
        <f>HLOOKUP(BV$1,DGbaseF2V!$A$40:$S$56,9,0)*BV$2</f>
        <v>1.937299E-4</v>
      </c>
      <c r="BY52" s="81"/>
      <c r="BZ52" s="81"/>
      <c r="CA52" s="81">
        <f t="shared" ref="CA52" si="112">BX52+BY52+BZ52</f>
        <v>1.937299E-4</v>
      </c>
      <c r="CB52" s="65"/>
      <c r="CD52" s="65"/>
      <c r="CE52" s="90"/>
      <c r="CF52" s="80" t="s">
        <v>339</v>
      </c>
      <c r="CG52" s="358">
        <f>HLOOKUP(CE$1,DGbaseF2V!$A$40:$S$56,9,0)*CE$2</f>
        <v>1.8599264800000002E-4</v>
      </c>
      <c r="CH52" s="81"/>
      <c r="CI52" s="81"/>
      <c r="CJ52" s="81">
        <f t="shared" ref="CJ52" si="113">CG52+CH52+CI52</f>
        <v>1.8599264800000002E-4</v>
      </c>
      <c r="CK52" s="65"/>
      <c r="CM52" s="370"/>
      <c r="CN52" s="386"/>
      <c r="CO52" s="381" t="s">
        <v>339</v>
      </c>
      <c r="CP52" s="382">
        <f>HLOOKUP($CP$2,D$3:CK$106,50,FALSE)</f>
        <v>1.937299E-4</v>
      </c>
      <c r="CQ52" s="382">
        <f>HLOOKUP($CQ$2,D$3:CK$106,50,FALSE)</f>
        <v>0</v>
      </c>
      <c r="CR52" s="382">
        <f>HLOOKUP($CR$2,D$3:CK$106,50,FALSE)</f>
        <v>0</v>
      </c>
      <c r="CS52" s="382">
        <f>HLOOKUP($CS$2,D$3:CK$106,50,FALSE)</f>
        <v>1.937299E-4</v>
      </c>
      <c r="CT52" s="370"/>
    </row>
    <row r="53" spans="1:98" ht="18" x14ac:dyDescent="0.35">
      <c r="A53" s="65"/>
      <c r="B53" s="90"/>
      <c r="C53" s="80" t="s">
        <v>340</v>
      </c>
      <c r="D53" s="86"/>
      <c r="E53" s="86"/>
      <c r="F53" s="86"/>
      <c r="G53" s="86"/>
      <c r="H53" s="89" t="s">
        <v>341</v>
      </c>
      <c r="J53" s="65"/>
      <c r="K53" s="90"/>
      <c r="L53" s="80" t="s">
        <v>340</v>
      </c>
      <c r="M53" s="86"/>
      <c r="N53" s="86"/>
      <c r="O53" s="86"/>
      <c r="P53" s="86"/>
      <c r="Q53" s="89" t="s">
        <v>341</v>
      </c>
      <c r="S53" s="65"/>
      <c r="T53" s="90"/>
      <c r="U53" s="80" t="s">
        <v>340</v>
      </c>
      <c r="V53" s="86"/>
      <c r="W53" s="86"/>
      <c r="X53" s="86"/>
      <c r="Y53" s="86"/>
      <c r="Z53" s="89" t="s">
        <v>341</v>
      </c>
      <c r="AB53" s="65"/>
      <c r="AC53" s="90"/>
      <c r="AD53" s="80" t="s">
        <v>340</v>
      </c>
      <c r="AE53" s="86"/>
      <c r="AF53" s="86"/>
      <c r="AG53" s="86"/>
      <c r="AH53" s="86"/>
      <c r="AI53" s="89" t="s">
        <v>341</v>
      </c>
      <c r="AK53" s="65"/>
      <c r="AL53" s="90"/>
      <c r="AM53" s="80" t="s">
        <v>340</v>
      </c>
      <c r="AN53" s="86"/>
      <c r="AO53" s="86"/>
      <c r="AP53" s="86"/>
      <c r="AQ53" s="86"/>
      <c r="AR53" s="89" t="s">
        <v>341</v>
      </c>
      <c r="AT53" s="65"/>
      <c r="AU53" s="90"/>
      <c r="AV53" s="80" t="s">
        <v>340</v>
      </c>
      <c r="AW53" s="86"/>
      <c r="AX53" s="86"/>
      <c r="AY53" s="86"/>
      <c r="AZ53" s="86"/>
      <c r="BA53" s="89" t="s">
        <v>341</v>
      </c>
      <c r="BC53" s="65"/>
      <c r="BD53" s="90"/>
      <c r="BE53" s="80" t="s">
        <v>340</v>
      </c>
      <c r="BF53" s="86"/>
      <c r="BG53" s="86"/>
      <c r="BH53" s="86"/>
      <c r="BI53" s="86"/>
      <c r="BJ53" s="89" t="s">
        <v>341</v>
      </c>
      <c r="BL53" s="65"/>
      <c r="BM53" s="90"/>
      <c r="BN53" s="80" t="s">
        <v>340</v>
      </c>
      <c r="BO53" s="86"/>
      <c r="BP53" s="86"/>
      <c r="BQ53" s="86"/>
      <c r="BR53" s="86"/>
      <c r="BS53" s="89" t="s">
        <v>341</v>
      </c>
      <c r="BU53" s="65"/>
      <c r="BV53" s="90"/>
      <c r="BW53" s="80" t="s">
        <v>340</v>
      </c>
      <c r="BX53" s="86"/>
      <c r="BY53" s="86"/>
      <c r="BZ53" s="86"/>
      <c r="CA53" s="86"/>
      <c r="CB53" s="89" t="s">
        <v>341</v>
      </c>
      <c r="CD53" s="65"/>
      <c r="CE53" s="90"/>
      <c r="CF53" s="80" t="s">
        <v>340</v>
      </c>
      <c r="CG53" s="86"/>
      <c r="CH53" s="86"/>
      <c r="CI53" s="86"/>
      <c r="CJ53" s="86"/>
      <c r="CK53" s="89" t="s">
        <v>341</v>
      </c>
      <c r="CM53" s="370"/>
      <c r="CN53" s="386"/>
      <c r="CO53" s="381" t="s">
        <v>340</v>
      </c>
      <c r="CP53" s="382"/>
      <c r="CQ53" s="382"/>
      <c r="CR53" s="382"/>
      <c r="CS53" s="382"/>
      <c r="CT53" s="385" t="s">
        <v>341</v>
      </c>
    </row>
    <row r="54" spans="1:98" ht="18" x14ac:dyDescent="0.35">
      <c r="A54" s="65"/>
      <c r="B54" s="90"/>
      <c r="C54" s="85"/>
      <c r="D54" s="92"/>
      <c r="E54" s="92"/>
      <c r="F54" s="92"/>
      <c r="G54" s="92"/>
      <c r="H54" s="65"/>
      <c r="J54" s="65"/>
      <c r="K54" s="90"/>
      <c r="L54" s="85"/>
      <c r="M54" s="92"/>
      <c r="N54" s="92"/>
      <c r="O54" s="92"/>
      <c r="P54" s="92"/>
      <c r="Q54" s="65"/>
      <c r="S54" s="65"/>
      <c r="T54" s="90"/>
      <c r="U54" s="85"/>
      <c r="V54" s="92"/>
      <c r="W54" s="92"/>
      <c r="X54" s="92"/>
      <c r="Y54" s="92"/>
      <c r="Z54" s="65"/>
      <c r="AB54" s="65"/>
      <c r="AC54" s="90"/>
      <c r="AD54" s="85"/>
      <c r="AE54" s="92"/>
      <c r="AF54" s="92"/>
      <c r="AG54" s="92"/>
      <c r="AH54" s="92"/>
      <c r="AI54" s="65"/>
      <c r="AK54" s="65"/>
      <c r="AL54" s="90"/>
      <c r="AM54" s="85"/>
      <c r="AN54" s="92"/>
      <c r="AO54" s="92"/>
      <c r="AP54" s="92"/>
      <c r="AQ54" s="92"/>
      <c r="AR54" s="65"/>
      <c r="AT54" s="65"/>
      <c r="AU54" s="90"/>
      <c r="AV54" s="85"/>
      <c r="AW54" s="92"/>
      <c r="AX54" s="92"/>
      <c r="AY54" s="92"/>
      <c r="AZ54" s="92"/>
      <c r="BA54" s="65"/>
      <c r="BC54" s="65"/>
      <c r="BD54" s="90"/>
      <c r="BE54" s="85"/>
      <c r="BF54" s="92"/>
      <c r="BG54" s="92"/>
      <c r="BH54" s="92"/>
      <c r="BI54" s="92"/>
      <c r="BJ54" s="65"/>
      <c r="BL54" s="65"/>
      <c r="BM54" s="90"/>
      <c r="BN54" s="85"/>
      <c r="BO54" s="92"/>
      <c r="BP54" s="92"/>
      <c r="BQ54" s="92"/>
      <c r="BR54" s="92"/>
      <c r="BS54" s="65"/>
      <c r="BU54" s="65"/>
      <c r="BV54" s="90"/>
      <c r="BW54" s="85"/>
      <c r="BX54" s="92"/>
      <c r="BY54" s="92"/>
      <c r="BZ54" s="92"/>
      <c r="CA54" s="92"/>
      <c r="CB54" s="65"/>
      <c r="CD54" s="65"/>
      <c r="CE54" s="90"/>
      <c r="CF54" s="85"/>
      <c r="CG54" s="92"/>
      <c r="CH54" s="92"/>
      <c r="CI54" s="92"/>
      <c r="CJ54" s="92"/>
      <c r="CK54" s="65"/>
      <c r="CM54" s="370"/>
      <c r="CN54" s="386"/>
      <c r="CO54" s="383"/>
      <c r="CP54" s="382"/>
      <c r="CQ54" s="382"/>
      <c r="CR54" s="382"/>
      <c r="CS54" s="382"/>
      <c r="CT54" s="370"/>
    </row>
    <row r="55" spans="1:98" ht="18" x14ac:dyDescent="0.35">
      <c r="A55" s="20"/>
      <c r="B55" s="95"/>
      <c r="C55" s="95"/>
      <c r="D55" s="95"/>
      <c r="E55" s="95"/>
      <c r="F55" s="95"/>
      <c r="G55" s="111"/>
      <c r="H55" s="20"/>
      <c r="J55" s="20"/>
      <c r="K55" s="95"/>
      <c r="L55" s="95"/>
      <c r="M55" s="95"/>
      <c r="N55" s="95"/>
      <c r="O55" s="95"/>
      <c r="P55" s="111"/>
      <c r="Q55" s="20"/>
      <c r="S55" s="20"/>
      <c r="T55" s="95"/>
      <c r="U55" s="95"/>
      <c r="V55" s="95"/>
      <c r="W55" s="95"/>
      <c r="X55" s="95"/>
      <c r="Y55" s="111"/>
      <c r="Z55" s="20"/>
      <c r="AB55" s="20"/>
      <c r="AC55" s="95"/>
      <c r="AD55" s="95"/>
      <c r="AE55" s="95"/>
      <c r="AF55" s="95"/>
      <c r="AG55" s="95"/>
      <c r="AH55" s="111"/>
      <c r="AI55" s="20"/>
      <c r="AK55" s="20"/>
      <c r="AL55" s="95"/>
      <c r="AM55" s="95"/>
      <c r="AN55" s="95"/>
      <c r="AO55" s="95"/>
      <c r="AP55" s="95"/>
      <c r="AQ55" s="111"/>
      <c r="AR55" s="20"/>
      <c r="AT55" s="20"/>
      <c r="AU55" s="95"/>
      <c r="AV55" s="95"/>
      <c r="AW55" s="95"/>
      <c r="AX55" s="95"/>
      <c r="AY55" s="95"/>
      <c r="AZ55" s="111"/>
      <c r="BA55" s="20"/>
      <c r="BC55" s="20"/>
      <c r="BD55" s="95"/>
      <c r="BE55" s="95"/>
      <c r="BF55" s="95"/>
      <c r="BG55" s="95"/>
      <c r="BH55" s="95"/>
      <c r="BI55" s="111"/>
      <c r="BJ55" s="20"/>
      <c r="BL55" s="20"/>
      <c r="BM55" s="95"/>
      <c r="BN55" s="95"/>
      <c r="BO55" s="95"/>
      <c r="BP55" s="95"/>
      <c r="BQ55" s="95"/>
      <c r="BR55" s="111"/>
      <c r="BS55" s="20"/>
      <c r="BU55" s="20"/>
      <c r="BV55" s="95"/>
      <c r="BW55" s="95"/>
      <c r="BX55" s="95"/>
      <c r="BY55" s="95"/>
      <c r="BZ55" s="95"/>
      <c r="CA55" s="111"/>
      <c r="CB55" s="20"/>
      <c r="CD55" s="20"/>
      <c r="CE55" s="95"/>
      <c r="CF55" s="95"/>
      <c r="CG55" s="95"/>
      <c r="CH55" s="95"/>
      <c r="CI55" s="95"/>
      <c r="CJ55" s="111"/>
      <c r="CK55" s="20"/>
      <c r="CM55" s="370"/>
      <c r="CN55" s="386"/>
      <c r="CO55" s="386"/>
      <c r="CP55" s="382"/>
      <c r="CQ55" s="382"/>
      <c r="CR55" s="382"/>
      <c r="CS55" s="382"/>
      <c r="CT55" s="370"/>
    </row>
    <row r="56" spans="1:98" ht="18" x14ac:dyDescent="0.3">
      <c r="A56" s="65"/>
      <c r="B56" s="75" t="s">
        <v>331</v>
      </c>
      <c r="C56" s="100" t="s">
        <v>345</v>
      </c>
      <c r="D56" s="77"/>
      <c r="E56" s="77"/>
      <c r="F56" s="77"/>
      <c r="G56" s="77"/>
      <c r="H56" s="65"/>
      <c r="J56" s="65"/>
      <c r="K56" s="75" t="s">
        <v>331</v>
      </c>
      <c r="L56" s="100" t="s">
        <v>345</v>
      </c>
      <c r="M56" s="77"/>
      <c r="N56" s="77"/>
      <c r="O56" s="77"/>
      <c r="P56" s="77"/>
      <c r="Q56" s="65"/>
      <c r="S56" s="65"/>
      <c r="T56" s="75" t="s">
        <v>331</v>
      </c>
      <c r="U56" s="100" t="s">
        <v>345</v>
      </c>
      <c r="V56" s="77"/>
      <c r="W56" s="77"/>
      <c r="X56" s="77"/>
      <c r="Y56" s="77"/>
      <c r="Z56" s="65"/>
      <c r="AB56" s="65"/>
      <c r="AC56" s="75" t="s">
        <v>331</v>
      </c>
      <c r="AD56" s="100" t="s">
        <v>345</v>
      </c>
      <c r="AE56" s="77"/>
      <c r="AF56" s="77"/>
      <c r="AG56" s="77"/>
      <c r="AH56" s="77"/>
      <c r="AI56" s="65"/>
      <c r="AK56" s="65"/>
      <c r="AL56" s="75" t="s">
        <v>331</v>
      </c>
      <c r="AM56" s="100" t="s">
        <v>345</v>
      </c>
      <c r="AN56" s="77"/>
      <c r="AO56" s="77"/>
      <c r="AP56" s="77"/>
      <c r="AQ56" s="77"/>
      <c r="AR56" s="65"/>
      <c r="AT56" s="65"/>
      <c r="AU56" s="75" t="s">
        <v>331</v>
      </c>
      <c r="AV56" s="100" t="s">
        <v>345</v>
      </c>
      <c r="AW56" s="77"/>
      <c r="AX56" s="77"/>
      <c r="AY56" s="77"/>
      <c r="AZ56" s="77"/>
      <c r="BA56" s="65"/>
      <c r="BC56" s="65"/>
      <c r="BD56" s="75" t="s">
        <v>331</v>
      </c>
      <c r="BE56" s="100" t="s">
        <v>345</v>
      </c>
      <c r="BF56" s="77"/>
      <c r="BG56" s="77"/>
      <c r="BH56" s="77"/>
      <c r="BI56" s="77"/>
      <c r="BJ56" s="65"/>
      <c r="BL56" s="65"/>
      <c r="BM56" s="75" t="s">
        <v>331</v>
      </c>
      <c r="BN56" s="100" t="s">
        <v>345</v>
      </c>
      <c r="BO56" s="77"/>
      <c r="BP56" s="77"/>
      <c r="BQ56" s="77"/>
      <c r="BR56" s="77"/>
      <c r="BS56" s="65"/>
      <c r="BU56" s="65"/>
      <c r="BV56" s="75" t="s">
        <v>331</v>
      </c>
      <c r="BW56" s="100" t="s">
        <v>345</v>
      </c>
      <c r="BX56" s="77"/>
      <c r="BY56" s="77"/>
      <c r="BZ56" s="77"/>
      <c r="CA56" s="77"/>
      <c r="CB56" s="65"/>
      <c r="CD56" s="65"/>
      <c r="CE56" s="75" t="s">
        <v>331</v>
      </c>
      <c r="CF56" s="100" t="s">
        <v>345</v>
      </c>
      <c r="CG56" s="77"/>
      <c r="CH56" s="77"/>
      <c r="CI56" s="77"/>
      <c r="CJ56" s="77"/>
      <c r="CK56" s="65"/>
      <c r="CM56" s="370"/>
      <c r="CN56" s="377" t="s">
        <v>331</v>
      </c>
      <c r="CO56" s="389" t="s">
        <v>345</v>
      </c>
      <c r="CP56" s="379">
        <f>IF($CS$3="yes",(SUM(CP57,CP58,CP65)/1),(SUM(CP57:CP63)/1))</f>
        <v>2.3618360149999999E-5</v>
      </c>
      <c r="CQ56" s="379">
        <f>IF($CS$3="yes",(SUM(CQ57,CQ58,CQ65)/1),(SUM(CQ57:CQ63)/1))</f>
        <v>3.0289166999999999E-6</v>
      </c>
      <c r="CR56" s="379">
        <f>IF($CS$3="yes",(SUM(CR57,CR58,CR65)/1),(SUM(CR57:CR63)/1))</f>
        <v>0</v>
      </c>
      <c r="CS56" s="379">
        <f>IF($CS$3="yes",(SUM(CS57,CS58,CS65)/1),(SUM(CS57:CS63)/1))</f>
        <v>2.6647276849999998E-5</v>
      </c>
      <c r="CT56" s="370"/>
    </row>
    <row r="57" spans="1:98" ht="18" x14ac:dyDescent="0.35">
      <c r="A57" s="65"/>
      <c r="B57" s="90"/>
      <c r="C57" s="80" t="s">
        <v>13</v>
      </c>
      <c r="D57" s="81">
        <v>1.1737285599999999E-5</v>
      </c>
      <c r="E57" s="81"/>
      <c r="F57" s="81"/>
      <c r="G57" s="81">
        <f>D57+E57+F57</f>
        <v>1.1737285599999999E-5</v>
      </c>
      <c r="H57" s="65"/>
      <c r="J57" s="65"/>
      <c r="K57" s="90"/>
      <c r="L57" s="80" t="s">
        <v>13</v>
      </c>
      <c r="M57" s="81">
        <v>1.1657731999999999E-5</v>
      </c>
      <c r="N57" s="81">
        <v>3.8859107999999997E-6</v>
      </c>
      <c r="O57" s="81"/>
      <c r="P57" s="81">
        <f>M57+N57+O57</f>
        <v>1.5543642799999999E-5</v>
      </c>
      <c r="Q57" s="65"/>
      <c r="S57" s="65"/>
      <c r="T57" s="90"/>
      <c r="U57" s="80" t="s">
        <v>13</v>
      </c>
      <c r="V57" s="81">
        <v>3.0420512999999999E-8</v>
      </c>
      <c r="W57" s="81"/>
      <c r="X57" s="81"/>
      <c r="Y57" s="81">
        <f>V57+W57+X57</f>
        <v>3.0420512999999999E-8</v>
      </c>
      <c r="Z57" s="65"/>
      <c r="AB57" s="65"/>
      <c r="AC57" s="90"/>
      <c r="AD57" s="80" t="s">
        <v>13</v>
      </c>
      <c r="AE57" s="81">
        <v>2.0280342E-8</v>
      </c>
      <c r="AF57" s="81">
        <v>1.7413714E-6</v>
      </c>
      <c r="AG57" s="81"/>
      <c r="AH57" s="81">
        <f>AE57+AF57+AG57</f>
        <v>1.7616517420000001E-6</v>
      </c>
      <c r="AI57" s="65"/>
      <c r="AK57" s="65"/>
      <c r="AL57" s="90"/>
      <c r="AM57" s="80" t="s">
        <v>13</v>
      </c>
      <c r="AN57" s="81">
        <v>1.0008576E-4</v>
      </c>
      <c r="AO57" s="81">
        <v>7.7718215999999994E-6</v>
      </c>
      <c r="AP57" s="81"/>
      <c r="AQ57" s="81">
        <f>AN57+AO57+AP57</f>
        <v>1.0785758160000001E-4</v>
      </c>
      <c r="AR57" s="65"/>
      <c r="AT57" s="65"/>
      <c r="AU57" s="90"/>
      <c r="AV57" s="80" t="s">
        <v>13</v>
      </c>
      <c r="AW57" s="81">
        <v>2.3315465000000002E-5</v>
      </c>
      <c r="AX57" s="81"/>
      <c r="AY57" s="81"/>
      <c r="AZ57" s="81">
        <f>AW57+AX57+AY57</f>
        <v>2.3315465000000002E-5</v>
      </c>
      <c r="BA57" s="65"/>
      <c r="BC57" s="65"/>
      <c r="BD57" s="90"/>
      <c r="BE57" s="80" t="s">
        <v>13</v>
      </c>
      <c r="BF57" s="81">
        <v>1.0448227999999999E-5</v>
      </c>
      <c r="BG57" s="81">
        <v>3.0289166999999999E-6</v>
      </c>
      <c r="BH57" s="81"/>
      <c r="BI57" s="81">
        <f>BF57+BG57+BH57</f>
        <v>1.3477144699999998E-5</v>
      </c>
      <c r="BJ57" s="65"/>
      <c r="BL57" s="65"/>
      <c r="BM57" s="90"/>
      <c r="BN57" s="80" t="s">
        <v>13</v>
      </c>
      <c r="BO57" s="81">
        <v>3.4827428E-6</v>
      </c>
      <c r="BP57" s="81"/>
      <c r="BQ57" s="81"/>
      <c r="BR57" s="81">
        <f>BO57+BP57+BQ57</f>
        <v>3.4827428E-6</v>
      </c>
      <c r="BS57" s="65"/>
      <c r="BU57" s="65"/>
      <c r="BV57" s="90"/>
      <c r="BW57" s="80" t="s">
        <v>13</v>
      </c>
      <c r="BX57" s="81">
        <v>1.5543642999999999E-5</v>
      </c>
      <c r="BY57" s="81">
        <f>BG57</f>
        <v>3.0289166999999999E-6</v>
      </c>
      <c r="BZ57" s="81"/>
      <c r="CA57" s="81">
        <f>BX57+BY57+BZ57</f>
        <v>1.8572559699999998E-5</v>
      </c>
      <c r="CB57" s="65"/>
      <c r="CD57" s="65"/>
      <c r="CE57" s="90"/>
      <c r="CF57" s="80" t="s">
        <v>13</v>
      </c>
      <c r="CG57" s="81">
        <v>9.7137621999999993E-6</v>
      </c>
      <c r="CH57" s="81">
        <v>2.5240973000000001E-6</v>
      </c>
      <c r="CI57" s="81"/>
      <c r="CJ57" s="81">
        <f>CG57+CH57+CI57</f>
        <v>1.2237859499999999E-5</v>
      </c>
      <c r="CK57" s="65"/>
      <c r="CM57" s="370"/>
      <c r="CN57" s="386"/>
      <c r="CO57" s="381" t="s">
        <v>13</v>
      </c>
      <c r="CP57" s="382">
        <f>HLOOKUP($CP$2,D$3:CK$106,55,FALSE)</f>
        <v>1.5543642999999999E-5</v>
      </c>
      <c r="CQ57" s="382">
        <f>HLOOKUP($CQ$2,D$3:CK$106,55,FALSE)</f>
        <v>3.0289166999999999E-6</v>
      </c>
      <c r="CR57" s="382">
        <f>HLOOKUP($CR$2,D$3:CK$106,55,FALSE)</f>
        <v>0</v>
      </c>
      <c r="CS57" s="382">
        <f>HLOOKUP($CS$2,D$3:CK$106,55,FALSE)</f>
        <v>1.8572559699999998E-5</v>
      </c>
      <c r="CT57" s="370"/>
    </row>
    <row r="58" spans="1:98" ht="18" x14ac:dyDescent="0.35">
      <c r="A58" s="65"/>
      <c r="B58" s="90"/>
      <c r="C58" s="80" t="s">
        <v>306</v>
      </c>
      <c r="D58" s="81">
        <v>3.2022402000000002E-6</v>
      </c>
      <c r="E58" s="81"/>
      <c r="F58" s="81"/>
      <c r="G58" s="81">
        <f t="shared" ref="G58:G65" si="114">D58+E58+F58</f>
        <v>3.2022402000000002E-6</v>
      </c>
      <c r="H58" s="65"/>
      <c r="J58" s="65"/>
      <c r="K58" s="90"/>
      <c r="L58" s="80" t="s">
        <v>306</v>
      </c>
      <c r="M58" s="81">
        <v>1.3954819E-7</v>
      </c>
      <c r="N58" s="81">
        <v>4.6188485999999999E-8</v>
      </c>
      <c r="O58" s="81"/>
      <c r="P58" s="81">
        <f t="shared" ref="P58:P65" si="115">M58+N58+O58</f>
        <v>1.8573667600000001E-7</v>
      </c>
      <c r="Q58" s="65"/>
      <c r="S58" s="65"/>
      <c r="T58" s="90"/>
      <c r="U58" s="80" t="s">
        <v>306</v>
      </c>
      <c r="V58" s="81">
        <v>3.0661293E-7</v>
      </c>
      <c r="W58" s="81"/>
      <c r="X58" s="81"/>
      <c r="Y58" s="81">
        <f t="shared" ref="Y58" si="116">V58+W58+X58</f>
        <v>3.0661293E-7</v>
      </c>
      <c r="Z58" s="65"/>
      <c r="AB58" s="65"/>
      <c r="AC58" s="90"/>
      <c r="AD58" s="80" t="s">
        <v>306</v>
      </c>
      <c r="AE58" s="81">
        <v>2.0637407999999999E-7</v>
      </c>
      <c r="AF58" s="81">
        <v>4.6188485000000002E-8</v>
      </c>
      <c r="AG58" s="81"/>
      <c r="AH58" s="81">
        <f t="shared" ref="AH58" si="117">AE58+AF58+AG58</f>
        <v>2.5256256499999997E-7</v>
      </c>
      <c r="AI58" s="65"/>
      <c r="AK58" s="65"/>
      <c r="AL58" s="90"/>
      <c r="AM58" s="80" t="s">
        <v>306</v>
      </c>
      <c r="AN58" s="81">
        <v>9.3474195E-5</v>
      </c>
      <c r="AO58" s="81">
        <v>9.8273374000000003E-8</v>
      </c>
      <c r="AP58" s="81"/>
      <c r="AQ58" s="81">
        <f t="shared" ref="AQ58" si="118">AN58+AO58+AP58</f>
        <v>9.3572468374000003E-5</v>
      </c>
      <c r="AR58" s="65"/>
      <c r="AT58" s="65"/>
      <c r="AU58" s="90"/>
      <c r="AV58" s="80" t="s">
        <v>306</v>
      </c>
      <c r="AW58" s="81">
        <v>2.9482012E-7</v>
      </c>
      <c r="AX58" s="81"/>
      <c r="AY58" s="81"/>
      <c r="AZ58" s="81">
        <f t="shared" ref="AZ58" si="119">AW58+AX58+AY58</f>
        <v>2.9482012E-7</v>
      </c>
      <c r="BA58" s="65"/>
      <c r="BC58" s="65"/>
      <c r="BD58" s="90"/>
      <c r="BE58" s="80" t="s">
        <v>306</v>
      </c>
      <c r="BF58" s="81">
        <v>3.0956113E-7</v>
      </c>
      <c r="BG58" s="81"/>
      <c r="BH58" s="81"/>
      <c r="BI58" s="81">
        <f t="shared" ref="BI58" si="120">BF58+BG58+BH58</f>
        <v>3.0956113E-7</v>
      </c>
      <c r="BJ58" s="65"/>
      <c r="BL58" s="65"/>
      <c r="BM58" s="90"/>
      <c r="BN58" s="80" t="s">
        <v>306</v>
      </c>
      <c r="BO58" s="81">
        <v>9.8273372999999999E-8</v>
      </c>
      <c r="BP58" s="81"/>
      <c r="BQ58" s="81"/>
      <c r="BR58" s="81">
        <f t="shared" ref="BR58" si="121">BO58+BP58+BQ58</f>
        <v>9.8273372999999999E-8</v>
      </c>
      <c r="BS58" s="65"/>
      <c r="BU58" s="65"/>
      <c r="BV58" s="90"/>
      <c r="BW58" s="80" t="s">
        <v>306</v>
      </c>
      <c r="BX58" s="81">
        <v>1.9654675000000001E-7</v>
      </c>
      <c r="BY58" s="81"/>
      <c r="BZ58" s="81"/>
      <c r="CA58" s="81">
        <f t="shared" ref="CA58" si="122">BX58+BY58+BZ58</f>
        <v>1.9654675000000001E-7</v>
      </c>
      <c r="CB58" s="65"/>
      <c r="CD58" s="65"/>
      <c r="CE58" s="90"/>
      <c r="CF58" s="80" t="s">
        <v>306</v>
      </c>
      <c r="CG58" s="81">
        <v>2.6621033E-6</v>
      </c>
      <c r="CH58" s="81"/>
      <c r="CI58" s="81"/>
      <c r="CJ58" s="81">
        <f t="shared" ref="CJ58" si="123">CG58+CH58+CI58</f>
        <v>2.6621033E-6</v>
      </c>
      <c r="CK58" s="65"/>
      <c r="CM58" s="370"/>
      <c r="CN58" s="386"/>
      <c r="CO58" s="381" t="s">
        <v>306</v>
      </c>
      <c r="CP58" s="382">
        <f>HLOOKUP($CP$2,D$3:CK$106,56,FALSE)</f>
        <v>1.9654675000000001E-7</v>
      </c>
      <c r="CQ58" s="382">
        <f>HLOOKUP($CQ$2,D$3:CK$106,56,FALSE)</f>
        <v>0</v>
      </c>
      <c r="CR58" s="382">
        <f>HLOOKUP($CR$2,D$3:CK$106,56,FALSE)</f>
        <v>0</v>
      </c>
      <c r="CS58" s="382">
        <f>HLOOKUP($CS$2,D$3:CK$106,56,FALSE)</f>
        <v>1.9654675000000001E-7</v>
      </c>
      <c r="CT58" s="370"/>
    </row>
    <row r="59" spans="1:98" ht="18" x14ac:dyDescent="0.35">
      <c r="A59" s="65"/>
      <c r="B59" s="90"/>
      <c r="C59" s="80" t="s">
        <v>312</v>
      </c>
      <c r="D59" s="81" t="s">
        <v>19</v>
      </c>
      <c r="E59" s="81" t="s">
        <v>19</v>
      </c>
      <c r="F59" s="81" t="s">
        <v>19</v>
      </c>
      <c r="G59" s="81" t="s">
        <v>19</v>
      </c>
      <c r="H59" s="65"/>
      <c r="J59" s="65"/>
      <c r="K59" s="90"/>
      <c r="L59" s="80" t="s">
        <v>312</v>
      </c>
      <c r="M59" s="81" t="s">
        <v>19</v>
      </c>
      <c r="N59" s="81" t="s">
        <v>19</v>
      </c>
      <c r="O59" s="81" t="s">
        <v>19</v>
      </c>
      <c r="P59" s="81" t="s">
        <v>19</v>
      </c>
      <c r="Q59" s="65"/>
      <c r="S59" s="65"/>
      <c r="T59" s="90"/>
      <c r="U59" s="80" t="s">
        <v>312</v>
      </c>
      <c r="V59" s="81" t="s">
        <v>19</v>
      </c>
      <c r="W59" s="81" t="s">
        <v>19</v>
      </c>
      <c r="X59" s="81" t="s">
        <v>19</v>
      </c>
      <c r="Y59" s="81" t="s">
        <v>19</v>
      </c>
      <c r="Z59" s="65"/>
      <c r="AB59" s="65"/>
      <c r="AC59" s="90"/>
      <c r="AD59" s="80" t="s">
        <v>312</v>
      </c>
      <c r="AE59" s="81" t="s">
        <v>19</v>
      </c>
      <c r="AF59" s="81" t="s">
        <v>19</v>
      </c>
      <c r="AG59" s="81" t="s">
        <v>19</v>
      </c>
      <c r="AH59" s="81" t="s">
        <v>19</v>
      </c>
      <c r="AI59" s="65"/>
      <c r="AK59" s="65"/>
      <c r="AL59" s="90"/>
      <c r="AM59" s="80" t="s">
        <v>312</v>
      </c>
      <c r="AN59" s="81" t="s">
        <v>19</v>
      </c>
      <c r="AO59" s="81" t="s">
        <v>19</v>
      </c>
      <c r="AP59" s="81" t="s">
        <v>19</v>
      </c>
      <c r="AQ59" s="81" t="s">
        <v>19</v>
      </c>
      <c r="AR59" s="65"/>
      <c r="AT59" s="65"/>
      <c r="AU59" s="90"/>
      <c r="AV59" s="80" t="s">
        <v>312</v>
      </c>
      <c r="AW59" s="81" t="s">
        <v>19</v>
      </c>
      <c r="AX59" s="81" t="s">
        <v>19</v>
      </c>
      <c r="AY59" s="81" t="s">
        <v>19</v>
      </c>
      <c r="AZ59" s="81" t="s">
        <v>19</v>
      </c>
      <c r="BA59" s="65"/>
      <c r="BC59" s="65"/>
      <c r="BD59" s="90"/>
      <c r="BE59" s="80" t="s">
        <v>312</v>
      </c>
      <c r="BF59" s="81" t="s">
        <v>19</v>
      </c>
      <c r="BG59" s="81" t="s">
        <v>19</v>
      </c>
      <c r="BH59" s="81" t="s">
        <v>19</v>
      </c>
      <c r="BI59" s="81" t="s">
        <v>19</v>
      </c>
      <c r="BJ59" s="65"/>
      <c r="BL59" s="65"/>
      <c r="BM59" s="90"/>
      <c r="BN59" s="80" t="s">
        <v>312</v>
      </c>
      <c r="BO59" s="81" t="s">
        <v>19</v>
      </c>
      <c r="BP59" s="81" t="s">
        <v>19</v>
      </c>
      <c r="BQ59" s="81" t="s">
        <v>19</v>
      </c>
      <c r="BR59" s="81" t="s">
        <v>19</v>
      </c>
      <c r="BS59" s="65"/>
      <c r="BU59" s="65"/>
      <c r="BV59" s="90"/>
      <c r="BW59" s="80" t="s">
        <v>312</v>
      </c>
      <c r="BX59" s="81" t="s">
        <v>19</v>
      </c>
      <c r="BY59" s="81" t="s">
        <v>19</v>
      </c>
      <c r="BZ59" s="81" t="s">
        <v>19</v>
      </c>
      <c r="CA59" s="81" t="s">
        <v>19</v>
      </c>
      <c r="CB59" s="65"/>
      <c r="CD59" s="65"/>
      <c r="CE59" s="90"/>
      <c r="CF59" s="80" t="s">
        <v>312</v>
      </c>
      <c r="CG59" s="81" t="s">
        <v>19</v>
      </c>
      <c r="CH59" s="81" t="s">
        <v>19</v>
      </c>
      <c r="CI59" s="81" t="s">
        <v>19</v>
      </c>
      <c r="CJ59" s="81" t="s">
        <v>19</v>
      </c>
      <c r="CK59" s="65"/>
      <c r="CM59" s="370"/>
      <c r="CN59" s="386"/>
      <c r="CO59" s="381" t="s">
        <v>312</v>
      </c>
      <c r="CP59" s="382" t="str">
        <f>HLOOKUP($CP$2,D$3:CK$106,57,FALSE)</f>
        <v>x</v>
      </c>
      <c r="CQ59" s="382" t="str">
        <f>HLOOKUP($CQ$2,D$3:CK$106,57,FALSE)</f>
        <v>x</v>
      </c>
      <c r="CR59" s="382" t="str">
        <f>HLOOKUP($CR$2,D$3:CK$106,57,FALSE)</f>
        <v>x</v>
      </c>
      <c r="CS59" s="382" t="str">
        <f>HLOOKUP($CS$2,D$3:CK$106,57,FALSE)</f>
        <v>x</v>
      </c>
      <c r="CT59" s="370"/>
    </row>
    <row r="60" spans="1:98" ht="18" x14ac:dyDescent="0.35">
      <c r="A60" s="65"/>
      <c r="B60" s="90"/>
      <c r="C60" s="80" t="s">
        <v>314</v>
      </c>
      <c r="D60" s="81" t="s">
        <v>19</v>
      </c>
      <c r="E60" s="81" t="s">
        <v>19</v>
      </c>
      <c r="F60" s="81" t="s">
        <v>19</v>
      </c>
      <c r="G60" s="81" t="s">
        <v>19</v>
      </c>
      <c r="H60" s="65"/>
      <c r="J60" s="65"/>
      <c r="K60" s="90"/>
      <c r="L60" s="80" t="s">
        <v>314</v>
      </c>
      <c r="M60" s="81" t="s">
        <v>19</v>
      </c>
      <c r="N60" s="81" t="s">
        <v>19</v>
      </c>
      <c r="O60" s="81" t="s">
        <v>19</v>
      </c>
      <c r="P60" s="81" t="s">
        <v>19</v>
      </c>
      <c r="Q60" s="65"/>
      <c r="S60" s="65"/>
      <c r="T60" s="90"/>
      <c r="U60" s="80" t="s">
        <v>314</v>
      </c>
      <c r="V60" s="81" t="s">
        <v>19</v>
      </c>
      <c r="W60" s="81" t="s">
        <v>19</v>
      </c>
      <c r="X60" s="81" t="s">
        <v>19</v>
      </c>
      <c r="Y60" s="81" t="s">
        <v>19</v>
      </c>
      <c r="Z60" s="65"/>
      <c r="AB60" s="65"/>
      <c r="AC60" s="90"/>
      <c r="AD60" s="80" t="s">
        <v>314</v>
      </c>
      <c r="AE60" s="81" t="s">
        <v>19</v>
      </c>
      <c r="AF60" s="81" t="s">
        <v>19</v>
      </c>
      <c r="AG60" s="81" t="s">
        <v>19</v>
      </c>
      <c r="AH60" s="81" t="s">
        <v>19</v>
      </c>
      <c r="AI60" s="65"/>
      <c r="AK60" s="65"/>
      <c r="AL60" s="90"/>
      <c r="AM60" s="80" t="s">
        <v>314</v>
      </c>
      <c r="AN60" s="81" t="s">
        <v>19</v>
      </c>
      <c r="AO60" s="81" t="s">
        <v>19</v>
      </c>
      <c r="AP60" s="81" t="s">
        <v>19</v>
      </c>
      <c r="AQ60" s="81" t="s">
        <v>19</v>
      </c>
      <c r="AR60" s="65"/>
      <c r="AT60" s="65"/>
      <c r="AU60" s="90"/>
      <c r="AV60" s="80" t="s">
        <v>314</v>
      </c>
      <c r="AW60" s="81" t="s">
        <v>19</v>
      </c>
      <c r="AX60" s="81" t="s">
        <v>19</v>
      </c>
      <c r="AY60" s="81" t="s">
        <v>19</v>
      </c>
      <c r="AZ60" s="81" t="s">
        <v>19</v>
      </c>
      <c r="BA60" s="65"/>
      <c r="BC60" s="65"/>
      <c r="BD60" s="90"/>
      <c r="BE60" s="80" t="s">
        <v>314</v>
      </c>
      <c r="BF60" s="81" t="s">
        <v>19</v>
      </c>
      <c r="BG60" s="81" t="s">
        <v>19</v>
      </c>
      <c r="BH60" s="81" t="s">
        <v>19</v>
      </c>
      <c r="BI60" s="81" t="s">
        <v>19</v>
      </c>
      <c r="BJ60" s="65"/>
      <c r="BL60" s="65"/>
      <c r="BM60" s="90"/>
      <c r="BN60" s="80" t="s">
        <v>314</v>
      </c>
      <c r="BO60" s="81" t="s">
        <v>19</v>
      </c>
      <c r="BP60" s="81" t="s">
        <v>19</v>
      </c>
      <c r="BQ60" s="81" t="s">
        <v>19</v>
      </c>
      <c r="BR60" s="81" t="s">
        <v>19</v>
      </c>
      <c r="BS60" s="65"/>
      <c r="BU60" s="65"/>
      <c r="BV60" s="90"/>
      <c r="BW60" s="80" t="s">
        <v>314</v>
      </c>
      <c r="BX60" s="81" t="s">
        <v>19</v>
      </c>
      <c r="BY60" s="81" t="s">
        <v>19</v>
      </c>
      <c r="BZ60" s="81" t="s">
        <v>19</v>
      </c>
      <c r="CA60" s="81" t="s">
        <v>19</v>
      </c>
      <c r="CB60" s="65"/>
      <c r="CD60" s="65"/>
      <c r="CE60" s="90"/>
      <c r="CF60" s="80" t="s">
        <v>314</v>
      </c>
      <c r="CG60" s="81" t="s">
        <v>19</v>
      </c>
      <c r="CH60" s="81" t="s">
        <v>19</v>
      </c>
      <c r="CI60" s="81" t="s">
        <v>19</v>
      </c>
      <c r="CJ60" s="81" t="s">
        <v>19</v>
      </c>
      <c r="CK60" s="65"/>
      <c r="CM60" s="370"/>
      <c r="CN60" s="386"/>
      <c r="CO60" s="381" t="s">
        <v>314</v>
      </c>
      <c r="CP60" s="382" t="str">
        <f>HLOOKUP($CP$2,D$3:CK$106,58,FALSE)</f>
        <v>x</v>
      </c>
      <c r="CQ60" s="382" t="str">
        <f>HLOOKUP($CQ$2,D$3:CK$106,58,FALSE)</f>
        <v>x</v>
      </c>
      <c r="CR60" s="382" t="str">
        <f>HLOOKUP($CR$2,D$3:CK$106,58,FALSE)</f>
        <v>x</v>
      </c>
      <c r="CS60" s="382" t="str">
        <f>HLOOKUP($CS$2,D$3:CK$106,58,FALSE)</f>
        <v>x</v>
      </c>
      <c r="CT60" s="370"/>
    </row>
    <row r="61" spans="1:98" ht="18" x14ac:dyDescent="0.35">
      <c r="A61" s="65"/>
      <c r="B61" s="90"/>
      <c r="C61" s="80" t="s">
        <v>320</v>
      </c>
      <c r="D61" s="358" t="e">
        <f>HLOOKUP($B$1,DGbaseF2V!$A$76:$S$92,10,0)*$B$2</f>
        <v>#N/A</v>
      </c>
      <c r="E61" s="81"/>
      <c r="F61" s="81"/>
      <c r="G61" s="81" t="e">
        <f t="shared" si="114"/>
        <v>#N/A</v>
      </c>
      <c r="H61" s="65"/>
      <c r="J61" s="65"/>
      <c r="K61" s="90"/>
      <c r="L61" s="80" t="s">
        <v>320</v>
      </c>
      <c r="M61" s="358" t="e">
        <f>HLOOKUP(K$1,DGbaseF2V!$A$76:$S$92,10,0)*K$2</f>
        <v>#N/A</v>
      </c>
      <c r="N61" s="81"/>
      <c r="O61" s="81"/>
      <c r="P61" s="81" t="e">
        <f t="shared" si="115"/>
        <v>#N/A</v>
      </c>
      <c r="Q61" s="65"/>
      <c r="S61" s="65"/>
      <c r="T61" s="90"/>
      <c r="U61" s="80" t="s">
        <v>320</v>
      </c>
      <c r="V61" s="358" t="e">
        <f>HLOOKUP(T$1,DGbaseF2V!$A$76:$S$92,10,0)*T$2</f>
        <v>#N/A</v>
      </c>
      <c r="W61" s="81"/>
      <c r="X61" s="81"/>
      <c r="Y61" s="81" t="e">
        <f t="shared" ref="Y61:Y63" si="124">V61+W61+X61</f>
        <v>#N/A</v>
      </c>
      <c r="Z61" s="65"/>
      <c r="AB61" s="65"/>
      <c r="AC61" s="90"/>
      <c r="AD61" s="80" t="s">
        <v>320</v>
      </c>
      <c r="AE61" s="358" t="e">
        <f>HLOOKUP(AC$1,DGbaseF2V!$A$76:$S$92,10,0)*AC$2</f>
        <v>#N/A</v>
      </c>
      <c r="AF61" s="81"/>
      <c r="AG61" s="81"/>
      <c r="AH61" s="81" t="e">
        <f t="shared" ref="AH61:AH63" si="125">AE61+AF61+AG61</f>
        <v>#N/A</v>
      </c>
      <c r="AI61" s="65"/>
      <c r="AK61" s="65"/>
      <c r="AL61" s="90"/>
      <c r="AM61" s="80" t="s">
        <v>320</v>
      </c>
      <c r="AN61" s="358" t="e">
        <f>HLOOKUP(AL$1,DGbaseF2V!$A$76:$S$92,10,0)*AL$2</f>
        <v>#N/A</v>
      </c>
      <c r="AO61" s="81"/>
      <c r="AP61" s="81"/>
      <c r="AQ61" s="81" t="e">
        <f t="shared" ref="AQ61:AQ63" si="126">AN61+AO61+AP61</f>
        <v>#N/A</v>
      </c>
      <c r="AR61" s="65"/>
      <c r="AT61" s="65"/>
      <c r="AU61" s="90"/>
      <c r="AV61" s="80" t="s">
        <v>320</v>
      </c>
      <c r="AW61" s="358" t="e">
        <f>HLOOKUP(AU$1,DGbaseF2V!$A$76:$S$92,10,0)*AU$2</f>
        <v>#N/A</v>
      </c>
      <c r="AX61" s="81"/>
      <c r="AY61" s="81"/>
      <c r="AZ61" s="81" t="e">
        <f t="shared" ref="AZ61:AZ63" si="127">AW61+AX61+AY61</f>
        <v>#N/A</v>
      </c>
      <c r="BA61" s="65"/>
      <c r="BC61" s="65"/>
      <c r="BD61" s="90"/>
      <c r="BE61" s="80" t="s">
        <v>320</v>
      </c>
      <c r="BF61" s="358" t="e">
        <f>HLOOKUP(BD$1,DGbaseF2V!$A$76:$S$92,10,0)*BD$2</f>
        <v>#N/A</v>
      </c>
      <c r="BG61" s="81"/>
      <c r="BH61" s="81"/>
      <c r="BI61" s="81" t="e">
        <f t="shared" ref="BI61:BI63" si="128">BF61+BG61+BH61</f>
        <v>#N/A</v>
      </c>
      <c r="BJ61" s="65"/>
      <c r="BL61" s="65"/>
      <c r="BM61" s="90"/>
      <c r="BN61" s="80" t="s">
        <v>320</v>
      </c>
      <c r="BO61" s="358" t="e">
        <f>HLOOKUP(BM$1,DGbaseF2V!$A$76:$S$92,10,0)*BM$2</f>
        <v>#N/A</v>
      </c>
      <c r="BP61" s="81"/>
      <c r="BQ61" s="81"/>
      <c r="BR61" s="81" t="e">
        <f t="shared" ref="BR61:BR63" si="129">BO61+BP61+BQ61</f>
        <v>#N/A</v>
      </c>
      <c r="BS61" s="65"/>
      <c r="BU61" s="65"/>
      <c r="BV61" s="90"/>
      <c r="BW61" s="80" t="s">
        <v>320</v>
      </c>
      <c r="BX61" s="358" t="e">
        <f>HLOOKUP(BV$1,DGbaseF2V!$A$76:$S$92,10,0)*BV$2</f>
        <v>#N/A</v>
      </c>
      <c r="BY61" s="81"/>
      <c r="BZ61" s="81"/>
      <c r="CA61" s="81" t="e">
        <f t="shared" ref="CA61:CA63" si="130">BX61+BY61+BZ61</f>
        <v>#N/A</v>
      </c>
      <c r="CB61" s="65"/>
      <c r="CD61" s="65"/>
      <c r="CE61" s="90"/>
      <c r="CF61" s="80" t="s">
        <v>320</v>
      </c>
      <c r="CG61" s="358" t="e">
        <f>HLOOKUP(CE$1,DGbaseF2V!$A$76:$S$92,10,0)*CE$2</f>
        <v>#N/A</v>
      </c>
      <c r="CH61" s="81"/>
      <c r="CI61" s="81"/>
      <c r="CJ61" s="81" t="e">
        <f t="shared" ref="CJ61:CJ63" si="131">CG61+CH61+CI61</f>
        <v>#N/A</v>
      </c>
      <c r="CK61" s="65"/>
      <c r="CM61" s="370"/>
      <c r="CN61" s="386"/>
      <c r="CO61" s="381" t="s">
        <v>320</v>
      </c>
      <c r="CP61" s="382" t="e">
        <f>HLOOKUP($CP$2,D$3:CK$106,59,FALSE)</f>
        <v>#N/A</v>
      </c>
      <c r="CQ61" s="382">
        <f>HLOOKUP($CQ$2,D$3:CK$106,59,FALSE)</f>
        <v>0</v>
      </c>
      <c r="CR61" s="382">
        <f>HLOOKUP($CR$2,D$3:CK$106,59,FALSE)</f>
        <v>0</v>
      </c>
      <c r="CS61" s="382" t="e">
        <f>HLOOKUP($CS$2,D$3:CK$106,59,FALSE)</f>
        <v>#N/A</v>
      </c>
      <c r="CT61" s="370"/>
    </row>
    <row r="62" spans="1:98" ht="18" x14ac:dyDescent="0.35">
      <c r="A62" s="65"/>
      <c r="B62" s="90"/>
      <c r="C62" s="80" t="s">
        <v>337</v>
      </c>
      <c r="D62" s="358">
        <f>HLOOKUP($B$1,DGbaseF2V!$A$58:$S$74,10,0)*$B$2</f>
        <v>-6.7543713999999997E-7</v>
      </c>
      <c r="E62" s="81"/>
      <c r="F62" s="81"/>
      <c r="G62" s="81">
        <f t="shared" si="114"/>
        <v>-6.7543713999999997E-7</v>
      </c>
      <c r="H62" s="65"/>
      <c r="J62" s="65"/>
      <c r="K62" s="90"/>
      <c r="L62" s="80" t="s">
        <v>337</v>
      </c>
      <c r="M62" s="358">
        <f>HLOOKUP(K$1,DGbaseF2V!$A$58:$S$74,10,0)*K$2</f>
        <v>-6.7543713999999997E-7</v>
      </c>
      <c r="N62" s="81"/>
      <c r="O62" s="81"/>
      <c r="P62" s="81">
        <f t="shared" si="115"/>
        <v>-6.7543713999999997E-7</v>
      </c>
      <c r="Q62" s="65"/>
      <c r="S62" s="65"/>
      <c r="T62" s="90"/>
      <c r="U62" s="80" t="s">
        <v>337</v>
      </c>
      <c r="V62" s="358">
        <f>HLOOKUP(T$1,DGbaseF2V!$A$58:$S$74,10,0)*T$2</f>
        <v>-1.5112312325E-6</v>
      </c>
      <c r="W62" s="81"/>
      <c r="X62" s="81"/>
      <c r="Y62" s="81">
        <f t="shared" si="124"/>
        <v>-1.5112312325E-6</v>
      </c>
      <c r="Z62" s="65"/>
      <c r="AB62" s="65"/>
      <c r="AC62" s="90"/>
      <c r="AD62" s="80" t="s">
        <v>337</v>
      </c>
      <c r="AE62" s="358">
        <f>HLOOKUP(AC$1,DGbaseF2V!$A$58:$S$74,10,0)*AC$2</f>
        <v>-1.2364619174999999E-6</v>
      </c>
      <c r="AF62" s="81"/>
      <c r="AG62" s="81"/>
      <c r="AH62" s="81">
        <f t="shared" si="125"/>
        <v>-1.2364619174999999E-6</v>
      </c>
      <c r="AI62" s="65"/>
      <c r="AK62" s="65"/>
      <c r="AL62" s="90"/>
      <c r="AM62" s="80" t="s">
        <v>337</v>
      </c>
      <c r="AN62" s="358">
        <f>HLOOKUP(AL$1,DGbaseF2V!$A$58:$S$74,10,0)*AL$2</f>
        <v>-5.7412156900000001E-6</v>
      </c>
      <c r="AO62" s="81"/>
      <c r="AP62" s="81"/>
      <c r="AQ62" s="81">
        <f t="shared" si="126"/>
        <v>-5.7412156900000001E-6</v>
      </c>
      <c r="AR62" s="65"/>
      <c r="AT62" s="65"/>
      <c r="AU62" s="90"/>
      <c r="AV62" s="80" t="s">
        <v>337</v>
      </c>
      <c r="AW62" s="358">
        <f>HLOOKUP(AU$1,DGbaseF2V!$A$58:$S$74,10,0)*AU$2</f>
        <v>-1.01315571E-6</v>
      </c>
      <c r="AX62" s="81"/>
      <c r="AY62" s="81"/>
      <c r="AZ62" s="81">
        <f t="shared" si="127"/>
        <v>-1.01315571E-6</v>
      </c>
      <c r="BA62" s="65"/>
      <c r="BC62" s="65"/>
      <c r="BD62" s="90"/>
      <c r="BE62" s="80" t="s">
        <v>337</v>
      </c>
      <c r="BF62" s="358">
        <f>HLOOKUP(BD$1,DGbaseF2V!$A$58:$S$74,10,0)*BD$2</f>
        <v>-1.114471281E-6</v>
      </c>
      <c r="BG62" s="81"/>
      <c r="BH62" s="81"/>
      <c r="BI62" s="81">
        <f t="shared" si="128"/>
        <v>-1.114471281E-6</v>
      </c>
      <c r="BJ62" s="65"/>
      <c r="BL62" s="65"/>
      <c r="BM62" s="90"/>
      <c r="BN62" s="80" t="s">
        <v>337</v>
      </c>
      <c r="BO62" s="358">
        <f>HLOOKUP(BM$1,DGbaseF2V!$A$58:$S$74,10,0)*BM$2</f>
        <v>-3.3771856999999998E-7</v>
      </c>
      <c r="BP62" s="81"/>
      <c r="BQ62" s="81"/>
      <c r="BR62" s="81">
        <f t="shared" si="129"/>
        <v>-3.3771856999999998E-7</v>
      </c>
      <c r="BS62" s="65"/>
      <c r="BU62" s="65"/>
      <c r="BV62" s="90"/>
      <c r="BW62" s="80" t="s">
        <v>337</v>
      </c>
      <c r="BX62" s="358">
        <f>HLOOKUP(BV$1,DGbaseF2V!$A$58:$S$74,10,0)*BV$2</f>
        <v>-6.7543713999999997E-7</v>
      </c>
      <c r="BY62" s="81"/>
      <c r="BZ62" s="81"/>
      <c r="CA62" s="81">
        <f t="shared" si="130"/>
        <v>-6.7543713999999997E-7</v>
      </c>
      <c r="CB62" s="65"/>
      <c r="CD62" s="65"/>
      <c r="CE62" s="90"/>
      <c r="CF62" s="80" t="s">
        <v>337</v>
      </c>
      <c r="CG62" s="358">
        <f>HLOOKUP(CE$1,DGbaseF2V!$A$58:$S$74,10,0)*CE$2</f>
        <v>-5.7412156900000004E-7</v>
      </c>
      <c r="CH62" s="81"/>
      <c r="CI62" s="81"/>
      <c r="CJ62" s="81">
        <f t="shared" si="131"/>
        <v>-5.7412156900000004E-7</v>
      </c>
      <c r="CK62" s="65"/>
      <c r="CM62" s="370"/>
      <c r="CN62" s="386"/>
      <c r="CO62" s="381" t="s">
        <v>337</v>
      </c>
      <c r="CP62" s="382">
        <f>HLOOKUP($CP$2,D$3:CK$106,60,FALSE)</f>
        <v>-6.7543713999999997E-7</v>
      </c>
      <c r="CQ62" s="382">
        <f>HLOOKUP($CQ$2,D$3:CK$106,60,FALSE)</f>
        <v>0</v>
      </c>
      <c r="CR62" s="382">
        <f>HLOOKUP($CR$2,D$3:CK$106,60,FALSE)</f>
        <v>0</v>
      </c>
      <c r="CS62" s="382">
        <f>HLOOKUP($CS$2,D$3:CK$106,60,FALSE)</f>
        <v>-6.7543713999999997E-7</v>
      </c>
      <c r="CT62" s="370"/>
    </row>
    <row r="63" spans="1:98" ht="18" x14ac:dyDescent="0.35">
      <c r="A63" s="65"/>
      <c r="B63" s="90"/>
      <c r="C63" s="80" t="s">
        <v>321</v>
      </c>
      <c r="D63" s="358" t="e">
        <f>HLOOKUP($B$1,DGbaseF2V!$A$22:$S$38,10,0)*$B$2</f>
        <v>#N/A</v>
      </c>
      <c r="E63" s="81"/>
      <c r="F63" s="81"/>
      <c r="G63" s="81" t="e">
        <f t="shared" si="114"/>
        <v>#N/A</v>
      </c>
      <c r="H63" s="65"/>
      <c r="J63" s="65"/>
      <c r="K63" s="90"/>
      <c r="L63" s="80" t="s">
        <v>321</v>
      </c>
      <c r="M63" s="358" t="e">
        <f>HLOOKUP(K$1,DGbaseF2V!$A$22:$S$38,10,0)*K$2</f>
        <v>#N/A</v>
      </c>
      <c r="N63" s="81"/>
      <c r="O63" s="81"/>
      <c r="P63" s="81" t="e">
        <f t="shared" si="115"/>
        <v>#N/A</v>
      </c>
      <c r="Q63" s="65"/>
      <c r="S63" s="65"/>
      <c r="T63" s="90"/>
      <c r="U63" s="80" t="s">
        <v>321</v>
      </c>
      <c r="V63" s="358" t="e">
        <f>HLOOKUP(T$1,DGbaseF2V!$A$22:$S$38,10,0)*T$2</f>
        <v>#N/A</v>
      </c>
      <c r="W63" s="81"/>
      <c r="X63" s="81"/>
      <c r="Y63" s="81" t="e">
        <f t="shared" si="124"/>
        <v>#N/A</v>
      </c>
      <c r="Z63" s="65"/>
      <c r="AB63" s="65"/>
      <c r="AC63" s="90"/>
      <c r="AD63" s="80" t="s">
        <v>321</v>
      </c>
      <c r="AE63" s="358" t="e">
        <f>HLOOKUP(AC$1,DGbaseF2V!$A$22:$S$38,10,0)*AC$2</f>
        <v>#N/A</v>
      </c>
      <c r="AF63" s="81"/>
      <c r="AG63" s="81"/>
      <c r="AH63" s="81" t="e">
        <f t="shared" si="125"/>
        <v>#N/A</v>
      </c>
      <c r="AI63" s="65"/>
      <c r="AK63" s="65"/>
      <c r="AL63" s="90"/>
      <c r="AM63" s="80" t="s">
        <v>321</v>
      </c>
      <c r="AN63" s="358" t="e">
        <f>HLOOKUP(AL$1,DGbaseF2V!$A$22:$S$38,10,0)*AL$2</f>
        <v>#N/A</v>
      </c>
      <c r="AO63" s="81"/>
      <c r="AP63" s="81"/>
      <c r="AQ63" s="81" t="e">
        <f t="shared" si="126"/>
        <v>#N/A</v>
      </c>
      <c r="AR63" s="65"/>
      <c r="AT63" s="65"/>
      <c r="AU63" s="90"/>
      <c r="AV63" s="80" t="s">
        <v>321</v>
      </c>
      <c r="AW63" s="358" t="e">
        <f>HLOOKUP(AU$1,DGbaseF2V!$A$22:$S$38,10,0)*AU$2</f>
        <v>#N/A</v>
      </c>
      <c r="AX63" s="81"/>
      <c r="AY63" s="81"/>
      <c r="AZ63" s="81" t="e">
        <f t="shared" si="127"/>
        <v>#N/A</v>
      </c>
      <c r="BA63" s="65"/>
      <c r="BC63" s="65"/>
      <c r="BD63" s="90"/>
      <c r="BE63" s="80" t="s">
        <v>321</v>
      </c>
      <c r="BF63" s="358">
        <f>HLOOKUP(BD$1,DGbaseF2V!$A$22:$S$38,10,0)*BD$2</f>
        <v>6.91902651E-6</v>
      </c>
      <c r="BG63" s="81"/>
      <c r="BH63" s="81"/>
      <c r="BI63" s="81">
        <f t="shared" si="128"/>
        <v>6.91902651E-6</v>
      </c>
      <c r="BJ63" s="65"/>
      <c r="BL63" s="65"/>
      <c r="BM63" s="90"/>
      <c r="BN63" s="80" t="s">
        <v>321</v>
      </c>
      <c r="BO63" s="358">
        <f>HLOOKUP(BM$1,DGbaseF2V!$A$22:$S$38,10,0)*BM$2</f>
        <v>2.0966746999999999E-6</v>
      </c>
      <c r="BP63" s="81"/>
      <c r="BQ63" s="81"/>
      <c r="BR63" s="81">
        <f t="shared" si="129"/>
        <v>2.0966746999999999E-6</v>
      </c>
      <c r="BS63" s="65"/>
      <c r="BU63" s="65"/>
      <c r="BV63" s="90"/>
      <c r="BW63" s="80" t="s">
        <v>321</v>
      </c>
      <c r="BX63" s="358" t="e">
        <f>HLOOKUP(BV$1,DGbaseF2V!$A$22:$S$38,10,0)*BV$2</f>
        <v>#N/A</v>
      </c>
      <c r="BY63" s="81"/>
      <c r="BZ63" s="81"/>
      <c r="CA63" s="81" t="e">
        <f t="shared" si="130"/>
        <v>#N/A</v>
      </c>
      <c r="CB63" s="65"/>
      <c r="CD63" s="65"/>
      <c r="CE63" s="90"/>
      <c r="CF63" s="80" t="s">
        <v>321</v>
      </c>
      <c r="CG63" s="358" t="e">
        <f>HLOOKUP(CE$1,DGbaseF2V!$A$22:$S$38,10,0)*CE$2</f>
        <v>#N/A</v>
      </c>
      <c r="CH63" s="81"/>
      <c r="CI63" s="81"/>
      <c r="CJ63" s="81" t="e">
        <f t="shared" si="131"/>
        <v>#N/A</v>
      </c>
      <c r="CK63" s="65"/>
      <c r="CM63" s="370"/>
      <c r="CN63" s="386"/>
      <c r="CO63" s="381" t="s">
        <v>321</v>
      </c>
      <c r="CP63" s="382" t="e">
        <f>HLOOKUP($CP$2,D$3:CK$106,61,FALSE)</f>
        <v>#N/A</v>
      </c>
      <c r="CQ63" s="382">
        <f>HLOOKUP($CQ$2,D$3:CK$106,61,FALSE)</f>
        <v>0</v>
      </c>
      <c r="CR63" s="382">
        <f>HLOOKUP($CR$2,D$3:CK$106,61,FALSE)</f>
        <v>0</v>
      </c>
      <c r="CS63" s="382" t="e">
        <f>HLOOKUP($CS$2,D$3:CK$106,61,FALSE)</f>
        <v>#N/A</v>
      </c>
      <c r="CT63" s="370"/>
    </row>
    <row r="64" spans="1:98" ht="18" x14ac:dyDescent="0.35">
      <c r="A64" s="65"/>
      <c r="B64" s="90"/>
      <c r="C64" s="80" t="s">
        <v>322</v>
      </c>
      <c r="D64" s="81" t="s">
        <v>19</v>
      </c>
      <c r="E64" s="81" t="s">
        <v>19</v>
      </c>
      <c r="F64" s="81" t="s">
        <v>19</v>
      </c>
      <c r="G64" s="81" t="s">
        <v>19</v>
      </c>
      <c r="H64" s="65"/>
      <c r="J64" s="65"/>
      <c r="K64" s="90"/>
      <c r="L64" s="80" t="s">
        <v>322</v>
      </c>
      <c r="M64" s="81" t="s">
        <v>19</v>
      </c>
      <c r="N64" s="81" t="s">
        <v>19</v>
      </c>
      <c r="O64" s="81" t="s">
        <v>19</v>
      </c>
      <c r="P64" s="81" t="s">
        <v>19</v>
      </c>
      <c r="Q64" s="65"/>
      <c r="S64" s="65"/>
      <c r="T64" s="90"/>
      <c r="U64" s="80" t="s">
        <v>322</v>
      </c>
      <c r="V64" s="81" t="s">
        <v>19</v>
      </c>
      <c r="W64" s="81" t="s">
        <v>19</v>
      </c>
      <c r="X64" s="81" t="s">
        <v>19</v>
      </c>
      <c r="Y64" s="81" t="s">
        <v>19</v>
      </c>
      <c r="Z64" s="65"/>
      <c r="AB64" s="65"/>
      <c r="AC64" s="90"/>
      <c r="AD64" s="80" t="s">
        <v>322</v>
      </c>
      <c r="AE64" s="81" t="s">
        <v>19</v>
      </c>
      <c r="AF64" s="81" t="s">
        <v>19</v>
      </c>
      <c r="AG64" s="81" t="s">
        <v>19</v>
      </c>
      <c r="AH64" s="81" t="s">
        <v>19</v>
      </c>
      <c r="AI64" s="65"/>
      <c r="AK64" s="65"/>
      <c r="AL64" s="90"/>
      <c r="AM64" s="80" t="s">
        <v>322</v>
      </c>
      <c r="AN64" s="81" t="s">
        <v>19</v>
      </c>
      <c r="AO64" s="81" t="s">
        <v>19</v>
      </c>
      <c r="AP64" s="81" t="s">
        <v>19</v>
      </c>
      <c r="AQ64" s="81" t="s">
        <v>19</v>
      </c>
      <c r="AR64" s="65"/>
      <c r="AT64" s="65"/>
      <c r="AU64" s="90"/>
      <c r="AV64" s="80" t="s">
        <v>322</v>
      </c>
      <c r="AW64" s="81" t="s">
        <v>19</v>
      </c>
      <c r="AX64" s="81" t="s">
        <v>19</v>
      </c>
      <c r="AY64" s="81" t="s">
        <v>19</v>
      </c>
      <c r="AZ64" s="81" t="s">
        <v>19</v>
      </c>
      <c r="BA64" s="65"/>
      <c r="BC64" s="65"/>
      <c r="BD64" s="90"/>
      <c r="BE64" s="80" t="s">
        <v>322</v>
      </c>
      <c r="BF64" s="81" t="s">
        <v>19</v>
      </c>
      <c r="BG64" s="81" t="s">
        <v>19</v>
      </c>
      <c r="BH64" s="81" t="s">
        <v>19</v>
      </c>
      <c r="BI64" s="81" t="s">
        <v>19</v>
      </c>
      <c r="BJ64" s="65"/>
      <c r="BL64" s="65"/>
      <c r="BM64" s="90"/>
      <c r="BN64" s="80" t="s">
        <v>322</v>
      </c>
      <c r="BO64" s="81" t="s">
        <v>19</v>
      </c>
      <c r="BP64" s="81" t="s">
        <v>19</v>
      </c>
      <c r="BQ64" s="81" t="s">
        <v>19</v>
      </c>
      <c r="BR64" s="81" t="s">
        <v>19</v>
      </c>
      <c r="BS64" s="65"/>
      <c r="BU64" s="65"/>
      <c r="BV64" s="90"/>
      <c r="BW64" s="80" t="s">
        <v>322</v>
      </c>
      <c r="BX64" s="81" t="s">
        <v>19</v>
      </c>
      <c r="BY64" s="81" t="s">
        <v>19</v>
      </c>
      <c r="BZ64" s="81" t="s">
        <v>19</v>
      </c>
      <c r="CA64" s="81" t="s">
        <v>19</v>
      </c>
      <c r="CB64" s="65"/>
      <c r="CD64" s="65"/>
      <c r="CE64" s="90"/>
      <c r="CF64" s="80" t="s">
        <v>322</v>
      </c>
      <c r="CG64" s="81" t="s">
        <v>19</v>
      </c>
      <c r="CH64" s="81" t="s">
        <v>19</v>
      </c>
      <c r="CI64" s="81" t="s">
        <v>19</v>
      </c>
      <c r="CJ64" s="81" t="s">
        <v>19</v>
      </c>
      <c r="CK64" s="65"/>
      <c r="CM64" s="370"/>
      <c r="CN64" s="386"/>
      <c r="CO64" s="381" t="s">
        <v>322</v>
      </c>
      <c r="CP64" s="382" t="str">
        <f>HLOOKUP($CP$2,D$3:CK$106,62,FALSE)</f>
        <v>x</v>
      </c>
      <c r="CQ64" s="382" t="str">
        <f>HLOOKUP($CQ$2,D$3:CK$106,62,FALSE)</f>
        <v>x</v>
      </c>
      <c r="CR64" s="382" t="str">
        <f>HLOOKUP($CR$2,D$3:CK$106,62,FALSE)</f>
        <v>x</v>
      </c>
      <c r="CS64" s="382" t="str">
        <f>HLOOKUP($CS$2,D$3:CK$106,62,FALSE)</f>
        <v>x</v>
      </c>
      <c r="CT64" s="370"/>
    </row>
    <row r="65" spans="1:98" ht="18" x14ac:dyDescent="0.35">
      <c r="A65" s="65"/>
      <c r="B65" s="90"/>
      <c r="C65" s="80" t="s">
        <v>339</v>
      </c>
      <c r="D65" s="358">
        <f>HLOOKUP($B$1,DGbaseF2V!$A$40:$S$56,10,0)*$B$2</f>
        <v>1.0962595800000002E-5</v>
      </c>
      <c r="E65" s="81"/>
      <c r="F65" s="81"/>
      <c r="G65" s="81">
        <f t="shared" si="114"/>
        <v>1.0962595800000002E-5</v>
      </c>
      <c r="H65" s="65"/>
      <c r="J65" s="65"/>
      <c r="K65" s="90"/>
      <c r="L65" s="80" t="s">
        <v>339</v>
      </c>
      <c r="M65" s="358">
        <f>HLOOKUP(K$1,DGbaseF2V!$A$40:$S$56,10,0)*K$2</f>
        <v>7.8781703999999996E-6</v>
      </c>
      <c r="N65" s="81"/>
      <c r="O65" s="81"/>
      <c r="P65" s="81">
        <f t="shared" si="115"/>
        <v>7.8781703999999996E-6</v>
      </c>
      <c r="Q65" s="65"/>
      <c r="S65" s="65"/>
      <c r="T65" s="90"/>
      <c r="U65" s="80" t="s">
        <v>339</v>
      </c>
      <c r="V65" s="358">
        <f>HLOOKUP(T$1,DGbaseF2V!$A$40:$S$56,10,0)*T$2</f>
        <v>1.3839483845000001E-5</v>
      </c>
      <c r="W65" s="81"/>
      <c r="X65" s="81"/>
      <c r="Y65" s="81">
        <f t="shared" ref="Y65" si="132">V65+W65+X65</f>
        <v>1.3839483845000001E-5</v>
      </c>
      <c r="Z65" s="65"/>
      <c r="AB65" s="65"/>
      <c r="AC65" s="90"/>
      <c r="AD65" s="80" t="s">
        <v>339</v>
      </c>
      <c r="AE65" s="358">
        <f>HLOOKUP(AC$1,DGbaseF2V!$A$40:$S$56,10,0)*AC$2</f>
        <v>1.1323214054999999E-5</v>
      </c>
      <c r="AF65" s="81"/>
      <c r="AG65" s="81"/>
      <c r="AH65" s="81">
        <f t="shared" ref="AH65" si="133">AE65+AF65+AG65</f>
        <v>1.1323214054999999E-5</v>
      </c>
      <c r="AI65" s="65"/>
      <c r="AK65" s="65"/>
      <c r="AL65" s="90"/>
      <c r="AM65" s="80" t="s">
        <v>339</v>
      </c>
      <c r="AN65" s="358">
        <f>HLOOKUP(AL$1,DGbaseF2V!$A$40:$S$56,10,0)*AL$2</f>
        <v>9.318206430000002E-5</v>
      </c>
      <c r="AO65" s="81"/>
      <c r="AP65" s="81"/>
      <c r="AQ65" s="81">
        <f t="shared" ref="AQ65" si="134">AN65+AO65+AP65</f>
        <v>9.318206430000002E-5</v>
      </c>
      <c r="AR65" s="65"/>
      <c r="AT65" s="65"/>
      <c r="AU65" s="90"/>
      <c r="AV65" s="80" t="s">
        <v>339</v>
      </c>
      <c r="AW65" s="358">
        <f>HLOOKUP(AU$1,DGbaseF2V!$A$40:$S$56,10,0)*AU$2</f>
        <v>1.1817255599999999E-5</v>
      </c>
      <c r="AX65" s="81"/>
      <c r="AY65" s="81"/>
      <c r="AZ65" s="81">
        <f t="shared" ref="AZ65" si="135">AW65+AX65+AY65</f>
        <v>1.1817255599999999E-5</v>
      </c>
      <c r="BA65" s="65"/>
      <c r="BC65" s="65"/>
      <c r="BD65" s="90"/>
      <c r="BE65" s="80" t="s">
        <v>339</v>
      </c>
      <c r="BF65" s="358">
        <f>HLOOKUP(BD$1,DGbaseF2V!$A$40:$S$56,10,0)*BD$2</f>
        <v>6.91902651E-6</v>
      </c>
      <c r="BG65" s="81"/>
      <c r="BH65" s="81"/>
      <c r="BI65" s="81">
        <f t="shared" ref="BI65" si="136">BF65+BG65+BH65</f>
        <v>6.91902651E-6</v>
      </c>
      <c r="BJ65" s="65"/>
      <c r="BL65" s="65"/>
      <c r="BM65" s="90"/>
      <c r="BN65" s="80" t="s">
        <v>339</v>
      </c>
      <c r="BO65" s="358">
        <f>HLOOKUP(BM$1,DGbaseF2V!$A$40:$S$56,10,0)*BM$2</f>
        <v>2.0966746999999999E-6</v>
      </c>
      <c r="BP65" s="81"/>
      <c r="BQ65" s="81"/>
      <c r="BR65" s="81">
        <f t="shared" ref="BR65" si="137">BO65+BP65+BQ65</f>
        <v>2.0966746999999999E-6</v>
      </c>
      <c r="BS65" s="65"/>
      <c r="BU65" s="65"/>
      <c r="BV65" s="90"/>
      <c r="BW65" s="80" t="s">
        <v>339</v>
      </c>
      <c r="BX65" s="358">
        <f>HLOOKUP(BV$1,DGbaseF2V!$A$40:$S$56,10,0)*BV$2</f>
        <v>7.8781703999999996E-6</v>
      </c>
      <c r="BY65" s="81"/>
      <c r="BZ65" s="81"/>
      <c r="CA65" s="81">
        <f t="shared" ref="CA65" si="138">BX65+BY65+BZ65</f>
        <v>7.8781703999999996E-6</v>
      </c>
      <c r="CB65" s="65"/>
      <c r="CD65" s="65"/>
      <c r="CE65" s="90"/>
      <c r="CF65" s="80" t="s">
        <v>339</v>
      </c>
      <c r="CG65" s="358">
        <f>HLOOKUP(CE$1,DGbaseF2V!$A$40:$S$56,10,0)*CE$2</f>
        <v>9.3182064300000024E-6</v>
      </c>
      <c r="CH65" s="81"/>
      <c r="CI65" s="81"/>
      <c r="CJ65" s="81">
        <f t="shared" ref="CJ65" si="139">CG65+CH65+CI65</f>
        <v>9.3182064300000024E-6</v>
      </c>
      <c r="CK65" s="65"/>
      <c r="CM65" s="370"/>
      <c r="CN65" s="386"/>
      <c r="CO65" s="381" t="s">
        <v>339</v>
      </c>
      <c r="CP65" s="382">
        <f>HLOOKUP($CP$2,D$3:CK$106,63,FALSE)</f>
        <v>7.8781703999999996E-6</v>
      </c>
      <c r="CQ65" s="382">
        <f>HLOOKUP($CQ$2,D$3:CK$106,63,FALSE)</f>
        <v>0</v>
      </c>
      <c r="CR65" s="382">
        <f>HLOOKUP($CR$2,D$3:CK$106,63,FALSE)</f>
        <v>0</v>
      </c>
      <c r="CS65" s="382">
        <f>HLOOKUP($CS$2,D$3:CK$106,63,FALSE)</f>
        <v>7.8781703999999996E-6</v>
      </c>
      <c r="CT65" s="370"/>
    </row>
    <row r="66" spans="1:98" ht="18" x14ac:dyDescent="0.35">
      <c r="A66" s="65"/>
      <c r="B66" s="90"/>
      <c r="C66" s="80" t="s">
        <v>340</v>
      </c>
      <c r="D66" s="86"/>
      <c r="E66" s="86"/>
      <c r="F66" s="86"/>
      <c r="G66" s="86"/>
      <c r="H66" s="89" t="s">
        <v>341</v>
      </c>
      <c r="J66" s="65"/>
      <c r="K66" s="90"/>
      <c r="L66" s="80" t="s">
        <v>340</v>
      </c>
      <c r="M66" s="86"/>
      <c r="N66" s="86"/>
      <c r="O66" s="86"/>
      <c r="P66" s="86"/>
      <c r="Q66" s="89" t="s">
        <v>341</v>
      </c>
      <c r="S66" s="65"/>
      <c r="T66" s="90"/>
      <c r="U66" s="80" t="s">
        <v>340</v>
      </c>
      <c r="V66" s="86"/>
      <c r="W66" s="86"/>
      <c r="X66" s="86"/>
      <c r="Y66" s="86"/>
      <c r="Z66" s="89" t="s">
        <v>341</v>
      </c>
      <c r="AB66" s="65"/>
      <c r="AC66" s="90"/>
      <c r="AD66" s="80" t="s">
        <v>340</v>
      </c>
      <c r="AE66" s="86"/>
      <c r="AF66" s="86"/>
      <c r="AG66" s="86"/>
      <c r="AH66" s="86"/>
      <c r="AI66" s="89" t="s">
        <v>341</v>
      </c>
      <c r="AK66" s="65"/>
      <c r="AL66" s="90"/>
      <c r="AM66" s="80" t="s">
        <v>340</v>
      </c>
      <c r="AN66" s="86"/>
      <c r="AO66" s="86"/>
      <c r="AP66" s="86"/>
      <c r="AQ66" s="86"/>
      <c r="AR66" s="89" t="s">
        <v>341</v>
      </c>
      <c r="AT66" s="65"/>
      <c r="AU66" s="90"/>
      <c r="AV66" s="80" t="s">
        <v>340</v>
      </c>
      <c r="AW66" s="86"/>
      <c r="AX66" s="86"/>
      <c r="AY66" s="86"/>
      <c r="AZ66" s="86"/>
      <c r="BA66" s="89" t="s">
        <v>341</v>
      </c>
      <c r="BC66" s="65"/>
      <c r="BD66" s="90"/>
      <c r="BE66" s="80" t="s">
        <v>340</v>
      </c>
      <c r="BF66" s="86"/>
      <c r="BG66" s="86"/>
      <c r="BH66" s="86"/>
      <c r="BI66" s="86"/>
      <c r="BJ66" s="89" t="s">
        <v>341</v>
      </c>
      <c r="BL66" s="65"/>
      <c r="BM66" s="90"/>
      <c r="BN66" s="80" t="s">
        <v>340</v>
      </c>
      <c r="BO66" s="86"/>
      <c r="BP66" s="86"/>
      <c r="BQ66" s="86"/>
      <c r="BR66" s="86"/>
      <c r="BS66" s="89" t="s">
        <v>341</v>
      </c>
      <c r="BU66" s="65"/>
      <c r="BV66" s="90"/>
      <c r="BW66" s="80" t="s">
        <v>340</v>
      </c>
      <c r="BX66" s="86"/>
      <c r="BY66" s="86"/>
      <c r="BZ66" s="86"/>
      <c r="CA66" s="86"/>
      <c r="CB66" s="89" t="s">
        <v>341</v>
      </c>
      <c r="CD66" s="65"/>
      <c r="CE66" s="90"/>
      <c r="CF66" s="80" t="s">
        <v>340</v>
      </c>
      <c r="CG66" s="86"/>
      <c r="CH66" s="86"/>
      <c r="CI66" s="86"/>
      <c r="CJ66" s="86"/>
      <c r="CK66" s="89" t="s">
        <v>341</v>
      </c>
      <c r="CM66" s="370"/>
      <c r="CN66" s="386"/>
      <c r="CO66" s="381" t="s">
        <v>340</v>
      </c>
      <c r="CP66" s="382"/>
      <c r="CQ66" s="382"/>
      <c r="CR66" s="382"/>
      <c r="CS66" s="382"/>
      <c r="CT66" s="385" t="s">
        <v>341</v>
      </c>
    </row>
    <row r="67" spans="1:98" ht="18" x14ac:dyDescent="0.35">
      <c r="A67" s="65"/>
      <c r="B67" s="90"/>
      <c r="C67" s="85"/>
      <c r="D67" s="92"/>
      <c r="E67" s="92"/>
      <c r="F67" s="92"/>
      <c r="G67" s="92"/>
      <c r="H67" s="65"/>
      <c r="J67" s="65"/>
      <c r="K67" s="90"/>
      <c r="L67" s="85"/>
      <c r="M67" s="92"/>
      <c r="N67" s="92"/>
      <c r="O67" s="92"/>
      <c r="P67" s="92"/>
      <c r="Q67" s="65"/>
      <c r="S67" s="65"/>
      <c r="T67" s="90"/>
      <c r="U67" s="85"/>
      <c r="V67" s="92"/>
      <c r="W67" s="92"/>
      <c r="X67" s="92"/>
      <c r="Y67" s="92"/>
      <c r="Z67" s="65"/>
      <c r="AB67" s="65"/>
      <c r="AC67" s="90"/>
      <c r="AD67" s="85"/>
      <c r="AE67" s="92"/>
      <c r="AF67" s="92"/>
      <c r="AG67" s="92"/>
      <c r="AH67" s="92"/>
      <c r="AI67" s="65"/>
      <c r="AK67" s="65"/>
      <c r="AL67" s="90"/>
      <c r="AM67" s="85"/>
      <c r="AN67" s="92"/>
      <c r="AO67" s="92"/>
      <c r="AP67" s="92"/>
      <c r="AQ67" s="92"/>
      <c r="AR67" s="65"/>
      <c r="AT67" s="65"/>
      <c r="AU67" s="90"/>
      <c r="AV67" s="85"/>
      <c r="AW67" s="92"/>
      <c r="AX67" s="92"/>
      <c r="AY67" s="92"/>
      <c r="AZ67" s="92"/>
      <c r="BA67" s="65"/>
      <c r="BC67" s="65"/>
      <c r="BD67" s="90"/>
      <c r="BE67" s="85"/>
      <c r="BF67" s="92"/>
      <c r="BG67" s="92"/>
      <c r="BH67" s="92"/>
      <c r="BI67" s="92"/>
      <c r="BJ67" s="65"/>
      <c r="BL67" s="65"/>
      <c r="BM67" s="90"/>
      <c r="BN67" s="85"/>
      <c r="BO67" s="92"/>
      <c r="BP67" s="92"/>
      <c r="BQ67" s="92"/>
      <c r="BR67" s="92"/>
      <c r="BS67" s="65"/>
      <c r="BU67" s="65"/>
      <c r="BV67" s="90"/>
      <c r="BW67" s="85"/>
      <c r="BX67" s="92"/>
      <c r="BY67" s="92"/>
      <c r="BZ67" s="92"/>
      <c r="CA67" s="92"/>
      <c r="CB67" s="65"/>
      <c r="CD67" s="65"/>
      <c r="CE67" s="90"/>
      <c r="CF67" s="85"/>
      <c r="CG67" s="92"/>
      <c r="CH67" s="92"/>
      <c r="CI67" s="92"/>
      <c r="CJ67" s="92"/>
      <c r="CK67" s="65"/>
      <c r="CM67" s="370"/>
      <c r="CN67" s="386"/>
      <c r="CO67" s="383"/>
      <c r="CP67" s="382"/>
      <c r="CQ67" s="382"/>
      <c r="CR67" s="382"/>
      <c r="CS67" s="382"/>
      <c r="CT67" s="370"/>
    </row>
    <row r="68" spans="1:98" ht="18" x14ac:dyDescent="0.35">
      <c r="A68" s="20"/>
      <c r="B68" s="95"/>
      <c r="C68" s="105"/>
      <c r="D68" s="112"/>
      <c r="E68" s="112"/>
      <c r="F68" s="112"/>
      <c r="G68" s="112"/>
      <c r="H68" s="20"/>
      <c r="J68" s="20"/>
      <c r="K68" s="95"/>
      <c r="L68" s="105"/>
      <c r="M68" s="112"/>
      <c r="N68" s="112"/>
      <c r="O68" s="112"/>
      <c r="P68" s="112"/>
      <c r="Q68" s="20"/>
      <c r="S68" s="20"/>
      <c r="T68" s="95"/>
      <c r="U68" s="105"/>
      <c r="V68" s="112"/>
      <c r="W68" s="112"/>
      <c r="X68" s="112"/>
      <c r="Y68" s="112"/>
      <c r="Z68" s="20"/>
      <c r="AB68" s="20"/>
      <c r="AC68" s="95"/>
      <c r="AD68" s="105"/>
      <c r="AE68" s="112"/>
      <c r="AF68" s="112"/>
      <c r="AG68" s="112"/>
      <c r="AH68" s="112"/>
      <c r="AI68" s="20"/>
      <c r="AK68" s="20"/>
      <c r="AL68" s="95"/>
      <c r="AM68" s="105"/>
      <c r="AN68" s="112"/>
      <c r="AO68" s="112"/>
      <c r="AP68" s="112"/>
      <c r="AQ68" s="112"/>
      <c r="AR68" s="20"/>
      <c r="AT68" s="20"/>
      <c r="AU68" s="95"/>
      <c r="AV68" s="105"/>
      <c r="AW68" s="112"/>
      <c r="AX68" s="112"/>
      <c r="AY68" s="112"/>
      <c r="AZ68" s="112"/>
      <c r="BA68" s="20"/>
      <c r="BC68" s="20"/>
      <c r="BD68" s="95"/>
      <c r="BE68" s="105"/>
      <c r="BF68" s="112"/>
      <c r="BG68" s="112"/>
      <c r="BH68" s="112"/>
      <c r="BI68" s="112"/>
      <c r="BJ68" s="20"/>
      <c r="BL68" s="20"/>
      <c r="BM68" s="95"/>
      <c r="BN68" s="105"/>
      <c r="BO68" s="112"/>
      <c r="BP68" s="112"/>
      <c r="BQ68" s="112"/>
      <c r="BR68" s="112"/>
      <c r="BS68" s="20"/>
      <c r="BU68" s="20"/>
      <c r="BV68" s="95"/>
      <c r="BW68" s="105"/>
      <c r="BX68" s="112"/>
      <c r="BY68" s="112"/>
      <c r="BZ68" s="112"/>
      <c r="CA68" s="112"/>
      <c r="CB68" s="20"/>
      <c r="CD68" s="20"/>
      <c r="CE68" s="95"/>
      <c r="CF68" s="105"/>
      <c r="CG68" s="112"/>
      <c r="CH68" s="112"/>
      <c r="CI68" s="112"/>
      <c r="CJ68" s="112"/>
      <c r="CK68" s="20"/>
      <c r="CM68" s="370"/>
      <c r="CN68" s="386"/>
      <c r="CO68" s="383"/>
      <c r="CP68" s="382"/>
      <c r="CQ68" s="382"/>
      <c r="CR68" s="382"/>
      <c r="CS68" s="382"/>
      <c r="CT68" s="370"/>
    </row>
    <row r="69" spans="1:98" ht="19.8" x14ac:dyDescent="0.3">
      <c r="A69" s="65"/>
      <c r="B69" s="75" t="s">
        <v>332</v>
      </c>
      <c r="C69" s="100" t="s">
        <v>346</v>
      </c>
      <c r="D69" s="77"/>
      <c r="E69" s="77"/>
      <c r="F69" s="77"/>
      <c r="G69" s="77"/>
      <c r="H69" s="65"/>
      <c r="J69" s="65"/>
      <c r="K69" s="75" t="s">
        <v>332</v>
      </c>
      <c r="L69" s="100" t="s">
        <v>346</v>
      </c>
      <c r="M69" s="77"/>
      <c r="N69" s="77"/>
      <c r="O69" s="77"/>
      <c r="P69" s="77"/>
      <c r="Q69" s="65"/>
      <c r="S69" s="65"/>
      <c r="T69" s="75" t="s">
        <v>332</v>
      </c>
      <c r="U69" s="100" t="s">
        <v>346</v>
      </c>
      <c r="V69" s="77"/>
      <c r="W69" s="77"/>
      <c r="X69" s="77"/>
      <c r="Y69" s="77"/>
      <c r="Z69" s="65"/>
      <c r="AB69" s="65"/>
      <c r="AC69" s="75" t="s">
        <v>332</v>
      </c>
      <c r="AD69" s="100" t="s">
        <v>346</v>
      </c>
      <c r="AE69" s="77"/>
      <c r="AF69" s="77"/>
      <c r="AG69" s="77"/>
      <c r="AH69" s="77"/>
      <c r="AI69" s="65"/>
      <c r="AK69" s="65"/>
      <c r="AL69" s="75" t="s">
        <v>332</v>
      </c>
      <c r="AM69" s="100" t="s">
        <v>346</v>
      </c>
      <c r="AN69" s="77"/>
      <c r="AO69" s="77"/>
      <c r="AP69" s="77"/>
      <c r="AQ69" s="77"/>
      <c r="AR69" s="65"/>
      <c r="AT69" s="65"/>
      <c r="AU69" s="75" t="s">
        <v>332</v>
      </c>
      <c r="AV69" s="100" t="s">
        <v>346</v>
      </c>
      <c r="AW69" s="77"/>
      <c r="AX69" s="77"/>
      <c r="AY69" s="77"/>
      <c r="AZ69" s="77"/>
      <c r="BA69" s="65"/>
      <c r="BC69" s="65"/>
      <c r="BD69" s="75" t="s">
        <v>332</v>
      </c>
      <c r="BE69" s="100" t="s">
        <v>346</v>
      </c>
      <c r="BF69" s="77"/>
      <c r="BG69" s="77"/>
      <c r="BH69" s="77"/>
      <c r="BI69" s="77"/>
      <c r="BJ69" s="65"/>
      <c r="BL69" s="65"/>
      <c r="BM69" s="75" t="s">
        <v>332</v>
      </c>
      <c r="BN69" s="100" t="s">
        <v>346</v>
      </c>
      <c r="BO69" s="77"/>
      <c r="BP69" s="77"/>
      <c r="BQ69" s="77"/>
      <c r="BR69" s="77"/>
      <c r="BS69" s="65"/>
      <c r="BU69" s="65"/>
      <c r="BV69" s="75" t="s">
        <v>332</v>
      </c>
      <c r="BW69" s="100" t="s">
        <v>346</v>
      </c>
      <c r="BX69" s="77"/>
      <c r="BY69" s="77"/>
      <c r="BZ69" s="77"/>
      <c r="CA69" s="77"/>
      <c r="CB69" s="65"/>
      <c r="CD69" s="65"/>
      <c r="CE69" s="75" t="s">
        <v>332</v>
      </c>
      <c r="CF69" s="100" t="s">
        <v>346</v>
      </c>
      <c r="CG69" s="77"/>
      <c r="CH69" s="77"/>
      <c r="CI69" s="77"/>
      <c r="CJ69" s="77"/>
      <c r="CK69" s="65"/>
      <c r="CM69" s="370"/>
      <c r="CN69" s="377" t="s">
        <v>332</v>
      </c>
      <c r="CO69" s="389" t="s">
        <v>346</v>
      </c>
      <c r="CP69" s="379">
        <f>IF($CS$3="yes",(SUM(CP70,CP71,CP78)/1),(SUM(CP70:CP76)/1))</f>
        <v>3.7688720680000003E-2</v>
      </c>
      <c r="CQ69" s="379">
        <f>IF($CS$3="yes",(SUM(CQ70,CQ71,CQ78)/1),(SUM(CQ70:CQ76)/1))</f>
        <v>6.3236402000000002E-3</v>
      </c>
      <c r="CR69" s="379">
        <f>IF($CS$3="yes",(SUM(CR70,CR71,CR78)/1),(SUM(CR70:CR76)/1))</f>
        <v>0</v>
      </c>
      <c r="CS69" s="379">
        <f>IF($CS$3="yes",(SUM(CS70,CS71,CS78)/1),(SUM(CS70:CS76)/1))</f>
        <v>4.4012360880000004E-2</v>
      </c>
      <c r="CT69" s="370"/>
    </row>
    <row r="70" spans="1:98" ht="18" x14ac:dyDescent="0.35">
      <c r="A70" s="65"/>
      <c r="B70" s="90"/>
      <c r="C70" s="80" t="s">
        <v>13</v>
      </c>
      <c r="D70" s="81">
        <v>1.1743132100000001E-2</v>
      </c>
      <c r="E70" s="81"/>
      <c r="F70" s="81"/>
      <c r="G70" s="81">
        <f>D70+E70+F70</f>
        <v>1.1743132100000001E-2</v>
      </c>
      <c r="H70" s="65"/>
      <c r="J70" s="65"/>
      <c r="K70" s="90"/>
      <c r="L70" s="80" t="s">
        <v>13</v>
      </c>
      <c r="M70" s="81">
        <v>1.376759E-2</v>
      </c>
      <c r="N70" s="81">
        <v>4.5891965E-3</v>
      </c>
      <c r="O70" s="81"/>
      <c r="P70" s="81">
        <f>M70+N70+O70</f>
        <v>1.83567865E-2</v>
      </c>
      <c r="Q70" s="65"/>
      <c r="S70" s="65"/>
      <c r="T70" s="90"/>
      <c r="U70" s="80" t="s">
        <v>13</v>
      </c>
      <c r="V70" s="81">
        <v>1.4519494E-3</v>
      </c>
      <c r="W70" s="81"/>
      <c r="X70" s="81"/>
      <c r="Y70" s="81">
        <f>V70+W70+X70</f>
        <v>1.4519494E-3</v>
      </c>
      <c r="Z70" s="65"/>
      <c r="AB70" s="65"/>
      <c r="AC70" s="90"/>
      <c r="AD70" s="80" t="s">
        <v>13</v>
      </c>
      <c r="AE70" s="81">
        <v>9.6796627000000001E-4</v>
      </c>
      <c r="AF70" s="81">
        <v>8.4503753999999999E-4</v>
      </c>
      <c r="AG70" s="81"/>
      <c r="AH70" s="81">
        <f>AE70+AF70+AG70</f>
        <v>1.8130038099999999E-3</v>
      </c>
      <c r="AI70" s="65"/>
      <c r="AK70" s="65"/>
      <c r="AL70" s="90"/>
      <c r="AM70" s="80" t="s">
        <v>13</v>
      </c>
      <c r="AN70" s="81">
        <v>0.13927413</v>
      </c>
      <c r="AO70" s="81">
        <v>9.178393E-3</v>
      </c>
      <c r="AP70" s="81"/>
      <c r="AQ70" s="81">
        <f>AN70+AO70+AP70</f>
        <v>0.148452523</v>
      </c>
      <c r="AR70" s="65"/>
      <c r="AT70" s="65"/>
      <c r="AU70" s="90"/>
      <c r="AV70" s="80" t="s">
        <v>13</v>
      </c>
      <c r="AW70" s="81">
        <v>2.7535179E-2</v>
      </c>
      <c r="AX70" s="81"/>
      <c r="AY70" s="81"/>
      <c r="AZ70" s="81">
        <f>AW70+AX70+AY70</f>
        <v>2.7535179E-2</v>
      </c>
      <c r="BA70" s="65"/>
      <c r="BC70" s="65"/>
      <c r="BD70" s="90"/>
      <c r="BE70" s="80" t="s">
        <v>13</v>
      </c>
      <c r="BF70" s="81">
        <v>5.0702252000000003E-3</v>
      </c>
      <c r="BG70" s="81">
        <v>6.3236402000000002E-3</v>
      </c>
      <c r="BH70" s="81"/>
      <c r="BI70" s="81">
        <f>BF70+BG70+BH70</f>
        <v>1.1393865400000001E-2</v>
      </c>
      <c r="BJ70" s="65"/>
      <c r="BL70" s="65"/>
      <c r="BM70" s="90"/>
      <c r="BN70" s="80" t="s">
        <v>13</v>
      </c>
      <c r="BO70" s="81">
        <v>1.6900750999999999E-3</v>
      </c>
      <c r="BP70" s="81"/>
      <c r="BQ70" s="81"/>
      <c r="BR70" s="81">
        <f>BO70+BP70+BQ70</f>
        <v>1.6900750999999999E-3</v>
      </c>
      <c r="BS70" s="65"/>
      <c r="BU70" s="65"/>
      <c r="BV70" s="90"/>
      <c r="BW70" s="80" t="s">
        <v>13</v>
      </c>
      <c r="BX70" s="81">
        <v>1.8356786E-2</v>
      </c>
      <c r="BY70" s="81">
        <f>BG70</f>
        <v>6.3236402000000002E-3</v>
      </c>
      <c r="BZ70" s="81"/>
      <c r="CA70" s="81">
        <f>BX70+BY70+BZ70</f>
        <v>2.4680426200000001E-2</v>
      </c>
      <c r="CB70" s="65"/>
      <c r="CD70" s="65"/>
      <c r="CE70" s="90"/>
      <c r="CF70" s="80" t="s">
        <v>13</v>
      </c>
      <c r="CG70" s="81">
        <v>9.6454181000000007E-3</v>
      </c>
      <c r="CH70" s="81">
        <v>5.2697001999999996E-3</v>
      </c>
      <c r="CI70" s="81"/>
      <c r="CJ70" s="81">
        <f>CG70+CH70+CI70</f>
        <v>1.49151183E-2</v>
      </c>
      <c r="CK70" s="65"/>
      <c r="CM70" s="370"/>
      <c r="CN70" s="386"/>
      <c r="CO70" s="381" t="s">
        <v>13</v>
      </c>
      <c r="CP70" s="382">
        <f>HLOOKUP($CP$2,D$3:CK$106,68,FALSE)</f>
        <v>1.8356786E-2</v>
      </c>
      <c r="CQ70" s="382">
        <f>HLOOKUP($CQ$2,D$3:CK$106,68,FALSE)</f>
        <v>6.3236402000000002E-3</v>
      </c>
      <c r="CR70" s="382">
        <f>HLOOKUP($CR$2,D$3:CK$106,68,FALSE)</f>
        <v>0</v>
      </c>
      <c r="CS70" s="382">
        <f>HLOOKUP($CS$2,D$3:CK$106,68,FALSE)</f>
        <v>2.4680426200000001E-2</v>
      </c>
      <c r="CT70" s="370"/>
    </row>
    <row r="71" spans="1:98" ht="18" x14ac:dyDescent="0.35">
      <c r="A71" s="65"/>
      <c r="B71" s="90"/>
      <c r="C71" s="80" t="s">
        <v>306</v>
      </c>
      <c r="D71" s="81">
        <v>2.8852573000000001E-3</v>
      </c>
      <c r="E71" s="81"/>
      <c r="F71" s="81"/>
      <c r="G71" s="81">
        <f t="shared" ref="G71:G78" si="140">D71+E71+F71</f>
        <v>2.8852573000000001E-3</v>
      </c>
      <c r="H71" s="65"/>
      <c r="J71" s="65"/>
      <c r="K71" s="90"/>
      <c r="L71" s="80" t="s">
        <v>306</v>
      </c>
      <c r="M71" s="81">
        <v>2.0919602000000001E-4</v>
      </c>
      <c r="N71" s="81">
        <v>6.9240937000000004E-5</v>
      </c>
      <c r="O71" s="81"/>
      <c r="P71" s="81">
        <f t="shared" ref="P71:P78" si="141">M71+N71+O71</f>
        <v>2.7843695700000004E-4</v>
      </c>
      <c r="Q71" s="65"/>
      <c r="S71" s="65"/>
      <c r="T71" s="90"/>
      <c r="U71" s="80" t="s">
        <v>306</v>
      </c>
      <c r="V71" s="81">
        <v>4.5964196000000001E-4</v>
      </c>
      <c r="W71" s="81"/>
      <c r="X71" s="81"/>
      <c r="Y71" s="81">
        <f t="shared" ref="Y71" si="142">V71+W71+X71</f>
        <v>4.5964196000000001E-4</v>
      </c>
      <c r="Z71" s="65"/>
      <c r="AB71" s="65"/>
      <c r="AC71" s="90"/>
      <c r="AD71" s="80" t="s">
        <v>306</v>
      </c>
      <c r="AE71" s="81">
        <v>3.0937439999999998E-4</v>
      </c>
      <c r="AF71" s="81">
        <v>6.9240935999999995E-5</v>
      </c>
      <c r="AG71" s="81"/>
      <c r="AH71" s="81">
        <f t="shared" ref="AH71" si="143">AE71+AF71+AG71</f>
        <v>3.7861533599999996E-4</v>
      </c>
      <c r="AI71" s="65"/>
      <c r="AK71" s="65"/>
      <c r="AL71" s="90"/>
      <c r="AM71" s="80" t="s">
        <v>306</v>
      </c>
      <c r="AN71" s="81">
        <v>7.0655019999999999E-2</v>
      </c>
      <c r="AO71" s="81">
        <v>1.4732113999999999E-4</v>
      </c>
      <c r="AP71" s="81"/>
      <c r="AQ71" s="81">
        <f t="shared" ref="AQ71" si="144">AN71+AO71+AP71</f>
        <v>7.0802341140000002E-2</v>
      </c>
      <c r="AR71" s="65"/>
      <c r="AT71" s="65"/>
      <c r="AU71" s="90"/>
      <c r="AV71" s="80" t="s">
        <v>306</v>
      </c>
      <c r="AW71" s="81">
        <v>4.4196342999999999E-4</v>
      </c>
      <c r="AX71" s="81"/>
      <c r="AY71" s="81"/>
      <c r="AZ71" s="81">
        <f t="shared" ref="AZ71" si="145">AW71+AX71+AY71</f>
        <v>4.4196342999999999E-4</v>
      </c>
      <c r="BA71" s="65"/>
      <c r="BC71" s="65"/>
      <c r="BD71" s="90"/>
      <c r="BE71" s="80" t="s">
        <v>306</v>
      </c>
      <c r="BF71" s="81">
        <v>4.6406159000000002E-4</v>
      </c>
      <c r="BG71" s="81"/>
      <c r="BH71" s="81"/>
      <c r="BI71" s="81">
        <f t="shared" ref="BI71" si="146">BF71+BG71+BH71</f>
        <v>4.6406159000000002E-4</v>
      </c>
      <c r="BJ71" s="65"/>
      <c r="BL71" s="65"/>
      <c r="BM71" s="90"/>
      <c r="BN71" s="80" t="s">
        <v>306</v>
      </c>
      <c r="BO71" s="81">
        <v>1.4732113999999999E-4</v>
      </c>
      <c r="BP71" s="81"/>
      <c r="BQ71" s="81"/>
      <c r="BR71" s="81">
        <f t="shared" ref="BR71" si="147">BO71+BP71+BQ71</f>
        <v>1.4732113999999999E-4</v>
      </c>
      <c r="BS71" s="65"/>
      <c r="BU71" s="65"/>
      <c r="BV71" s="90"/>
      <c r="BW71" s="80" t="s">
        <v>306</v>
      </c>
      <c r="BX71" s="81">
        <v>2.9464227999999998E-4</v>
      </c>
      <c r="BY71" s="81"/>
      <c r="BZ71" s="81"/>
      <c r="CA71" s="81">
        <f t="shared" ref="CA71" si="148">BX71+BY71+BZ71</f>
        <v>2.9464227999999998E-4</v>
      </c>
      <c r="CB71" s="65"/>
      <c r="CD71" s="65"/>
      <c r="CE71" s="90"/>
      <c r="CF71" s="80" t="s">
        <v>306</v>
      </c>
      <c r="CG71" s="81">
        <v>2.3985873999999999E-3</v>
      </c>
      <c r="CH71" s="81"/>
      <c r="CI71" s="81"/>
      <c r="CJ71" s="81">
        <f t="shared" ref="CJ71" si="149">CG71+CH71+CI71</f>
        <v>2.3985873999999999E-3</v>
      </c>
      <c r="CK71" s="65"/>
      <c r="CM71" s="370"/>
      <c r="CN71" s="386"/>
      <c r="CO71" s="381" t="s">
        <v>306</v>
      </c>
      <c r="CP71" s="382">
        <f>HLOOKUP($CP$2,D$3:CK$106,69,FALSE)</f>
        <v>2.9464227999999998E-4</v>
      </c>
      <c r="CQ71" s="382">
        <f>HLOOKUP($CQ$2,D$3:CK$106,69,FALSE)</f>
        <v>0</v>
      </c>
      <c r="CR71" s="382">
        <f>HLOOKUP($CR$2,D$3:CK$106,69,FALSE)</f>
        <v>0</v>
      </c>
      <c r="CS71" s="382">
        <f>HLOOKUP($CS$2,D$3:CK$106,69,FALSE)</f>
        <v>2.9464227999999998E-4</v>
      </c>
      <c r="CT71" s="370"/>
    </row>
    <row r="72" spans="1:98" ht="18" x14ac:dyDescent="0.35">
      <c r="A72" s="65"/>
      <c r="B72" s="90"/>
      <c r="C72" s="80" t="s">
        <v>312</v>
      </c>
      <c r="D72" s="81" t="s">
        <v>19</v>
      </c>
      <c r="E72" s="81" t="s">
        <v>19</v>
      </c>
      <c r="F72" s="81" t="s">
        <v>19</v>
      </c>
      <c r="G72" s="81" t="s">
        <v>19</v>
      </c>
      <c r="H72" s="65"/>
      <c r="J72" s="65"/>
      <c r="K72" s="90"/>
      <c r="L72" s="80" t="s">
        <v>312</v>
      </c>
      <c r="M72" s="81" t="s">
        <v>19</v>
      </c>
      <c r="N72" s="81" t="s">
        <v>19</v>
      </c>
      <c r="O72" s="81" t="s">
        <v>19</v>
      </c>
      <c r="P72" s="81" t="s">
        <v>19</v>
      </c>
      <c r="Q72" s="65"/>
      <c r="S72" s="65"/>
      <c r="T72" s="90"/>
      <c r="U72" s="80" t="s">
        <v>312</v>
      </c>
      <c r="V72" s="81" t="s">
        <v>19</v>
      </c>
      <c r="W72" s="81" t="s">
        <v>19</v>
      </c>
      <c r="X72" s="81" t="s">
        <v>19</v>
      </c>
      <c r="Y72" s="81" t="s">
        <v>19</v>
      </c>
      <c r="Z72" s="65"/>
      <c r="AB72" s="65"/>
      <c r="AC72" s="90"/>
      <c r="AD72" s="80" t="s">
        <v>312</v>
      </c>
      <c r="AE72" s="81" t="s">
        <v>19</v>
      </c>
      <c r="AF72" s="81" t="s">
        <v>19</v>
      </c>
      <c r="AG72" s="81" t="s">
        <v>19</v>
      </c>
      <c r="AH72" s="81" t="s">
        <v>19</v>
      </c>
      <c r="AI72" s="65"/>
      <c r="AK72" s="65"/>
      <c r="AL72" s="90"/>
      <c r="AM72" s="80" t="s">
        <v>312</v>
      </c>
      <c r="AN72" s="81" t="s">
        <v>19</v>
      </c>
      <c r="AO72" s="81" t="s">
        <v>19</v>
      </c>
      <c r="AP72" s="81" t="s">
        <v>19</v>
      </c>
      <c r="AQ72" s="81" t="s">
        <v>19</v>
      </c>
      <c r="AR72" s="65"/>
      <c r="AT72" s="65"/>
      <c r="AU72" s="90"/>
      <c r="AV72" s="80" t="s">
        <v>312</v>
      </c>
      <c r="AW72" s="81" t="s">
        <v>19</v>
      </c>
      <c r="AX72" s="81" t="s">
        <v>19</v>
      </c>
      <c r="AY72" s="81" t="s">
        <v>19</v>
      </c>
      <c r="AZ72" s="81" t="s">
        <v>19</v>
      </c>
      <c r="BA72" s="65"/>
      <c r="BC72" s="65"/>
      <c r="BD72" s="90"/>
      <c r="BE72" s="80" t="s">
        <v>312</v>
      </c>
      <c r="BF72" s="81" t="s">
        <v>19</v>
      </c>
      <c r="BG72" s="81" t="s">
        <v>19</v>
      </c>
      <c r="BH72" s="81" t="s">
        <v>19</v>
      </c>
      <c r="BI72" s="81" t="s">
        <v>19</v>
      </c>
      <c r="BJ72" s="65"/>
      <c r="BL72" s="65"/>
      <c r="BM72" s="90"/>
      <c r="BN72" s="80" t="s">
        <v>312</v>
      </c>
      <c r="BO72" s="81" t="s">
        <v>19</v>
      </c>
      <c r="BP72" s="81" t="s">
        <v>19</v>
      </c>
      <c r="BQ72" s="81" t="s">
        <v>19</v>
      </c>
      <c r="BR72" s="81" t="s">
        <v>19</v>
      </c>
      <c r="BS72" s="65"/>
      <c r="BU72" s="65"/>
      <c r="BV72" s="90"/>
      <c r="BW72" s="80" t="s">
        <v>312</v>
      </c>
      <c r="BX72" s="81" t="s">
        <v>19</v>
      </c>
      <c r="BY72" s="81" t="s">
        <v>19</v>
      </c>
      <c r="BZ72" s="81" t="s">
        <v>19</v>
      </c>
      <c r="CA72" s="81" t="s">
        <v>19</v>
      </c>
      <c r="CB72" s="65"/>
      <c r="CD72" s="65"/>
      <c r="CE72" s="90"/>
      <c r="CF72" s="80" t="s">
        <v>312</v>
      </c>
      <c r="CG72" s="81" t="s">
        <v>19</v>
      </c>
      <c r="CH72" s="81" t="s">
        <v>19</v>
      </c>
      <c r="CI72" s="81" t="s">
        <v>19</v>
      </c>
      <c r="CJ72" s="81" t="s">
        <v>19</v>
      </c>
      <c r="CK72" s="65"/>
      <c r="CM72" s="370"/>
      <c r="CN72" s="386"/>
      <c r="CO72" s="381" t="s">
        <v>312</v>
      </c>
      <c r="CP72" s="382" t="str">
        <f>HLOOKUP($CP$2,D$3:CK$106,70,FALSE)</f>
        <v>x</v>
      </c>
      <c r="CQ72" s="382" t="str">
        <f>HLOOKUP($CQ$2,D$3:CK$106,70,FALSE)</f>
        <v>x</v>
      </c>
      <c r="CR72" s="382" t="str">
        <f>HLOOKUP($CR$2,D$3:CK$106,70,FALSE)</f>
        <v>x</v>
      </c>
      <c r="CS72" s="382" t="str">
        <f>HLOOKUP($CS$2,D$3:CK$106,70,FALSE)</f>
        <v>x</v>
      </c>
      <c r="CT72" s="370"/>
    </row>
    <row r="73" spans="1:98" ht="18" x14ac:dyDescent="0.35">
      <c r="A73" s="65"/>
      <c r="B73" s="90"/>
      <c r="C73" s="80" t="s">
        <v>314</v>
      </c>
      <c r="D73" s="81" t="s">
        <v>19</v>
      </c>
      <c r="E73" s="81" t="s">
        <v>19</v>
      </c>
      <c r="F73" s="81" t="s">
        <v>19</v>
      </c>
      <c r="G73" s="81" t="s">
        <v>19</v>
      </c>
      <c r="H73" s="65"/>
      <c r="J73" s="65"/>
      <c r="K73" s="90"/>
      <c r="L73" s="80" t="s">
        <v>314</v>
      </c>
      <c r="M73" s="81" t="s">
        <v>19</v>
      </c>
      <c r="N73" s="81" t="s">
        <v>19</v>
      </c>
      <c r="O73" s="81" t="s">
        <v>19</v>
      </c>
      <c r="P73" s="81" t="s">
        <v>19</v>
      </c>
      <c r="Q73" s="65"/>
      <c r="S73" s="65"/>
      <c r="T73" s="90"/>
      <c r="U73" s="80" t="s">
        <v>314</v>
      </c>
      <c r="V73" s="81" t="s">
        <v>19</v>
      </c>
      <c r="W73" s="81" t="s">
        <v>19</v>
      </c>
      <c r="X73" s="81" t="s">
        <v>19</v>
      </c>
      <c r="Y73" s="81" t="s">
        <v>19</v>
      </c>
      <c r="Z73" s="65"/>
      <c r="AB73" s="65"/>
      <c r="AC73" s="90"/>
      <c r="AD73" s="80" t="s">
        <v>314</v>
      </c>
      <c r="AE73" s="81" t="s">
        <v>19</v>
      </c>
      <c r="AF73" s="81" t="s">
        <v>19</v>
      </c>
      <c r="AG73" s="81" t="s">
        <v>19</v>
      </c>
      <c r="AH73" s="81" t="s">
        <v>19</v>
      </c>
      <c r="AI73" s="65"/>
      <c r="AK73" s="65"/>
      <c r="AL73" s="90"/>
      <c r="AM73" s="80" t="s">
        <v>314</v>
      </c>
      <c r="AN73" s="81" t="s">
        <v>19</v>
      </c>
      <c r="AO73" s="81" t="s">
        <v>19</v>
      </c>
      <c r="AP73" s="81" t="s">
        <v>19</v>
      </c>
      <c r="AQ73" s="81" t="s">
        <v>19</v>
      </c>
      <c r="AR73" s="65"/>
      <c r="AT73" s="65"/>
      <c r="AU73" s="90"/>
      <c r="AV73" s="80" t="s">
        <v>314</v>
      </c>
      <c r="AW73" s="81" t="s">
        <v>19</v>
      </c>
      <c r="AX73" s="81" t="s">
        <v>19</v>
      </c>
      <c r="AY73" s="81" t="s">
        <v>19</v>
      </c>
      <c r="AZ73" s="81" t="s">
        <v>19</v>
      </c>
      <c r="BA73" s="65"/>
      <c r="BC73" s="65"/>
      <c r="BD73" s="90"/>
      <c r="BE73" s="80" t="s">
        <v>314</v>
      </c>
      <c r="BF73" s="81" t="s">
        <v>19</v>
      </c>
      <c r="BG73" s="81" t="s">
        <v>19</v>
      </c>
      <c r="BH73" s="81" t="s">
        <v>19</v>
      </c>
      <c r="BI73" s="81" t="s">
        <v>19</v>
      </c>
      <c r="BJ73" s="65"/>
      <c r="BL73" s="65"/>
      <c r="BM73" s="90"/>
      <c r="BN73" s="80" t="s">
        <v>314</v>
      </c>
      <c r="BO73" s="81" t="s">
        <v>19</v>
      </c>
      <c r="BP73" s="81" t="s">
        <v>19</v>
      </c>
      <c r="BQ73" s="81" t="s">
        <v>19</v>
      </c>
      <c r="BR73" s="81" t="s">
        <v>19</v>
      </c>
      <c r="BS73" s="65"/>
      <c r="BU73" s="65"/>
      <c r="BV73" s="90"/>
      <c r="BW73" s="80" t="s">
        <v>314</v>
      </c>
      <c r="BX73" s="81" t="s">
        <v>19</v>
      </c>
      <c r="BY73" s="81" t="s">
        <v>19</v>
      </c>
      <c r="BZ73" s="81" t="s">
        <v>19</v>
      </c>
      <c r="CA73" s="81" t="s">
        <v>19</v>
      </c>
      <c r="CB73" s="65"/>
      <c r="CD73" s="65"/>
      <c r="CE73" s="90"/>
      <c r="CF73" s="80" t="s">
        <v>314</v>
      </c>
      <c r="CG73" s="81" t="s">
        <v>19</v>
      </c>
      <c r="CH73" s="81" t="s">
        <v>19</v>
      </c>
      <c r="CI73" s="81" t="s">
        <v>19</v>
      </c>
      <c r="CJ73" s="81" t="s">
        <v>19</v>
      </c>
      <c r="CK73" s="65"/>
      <c r="CM73" s="370"/>
      <c r="CN73" s="386"/>
      <c r="CO73" s="381" t="s">
        <v>314</v>
      </c>
      <c r="CP73" s="382" t="str">
        <f>HLOOKUP($CP$2,D$3:CK$106,71,FALSE)</f>
        <v>x</v>
      </c>
      <c r="CQ73" s="382" t="str">
        <f>HLOOKUP($CQ$2,D$3:CK$106,71,FALSE)</f>
        <v>x</v>
      </c>
      <c r="CR73" s="382" t="str">
        <f>HLOOKUP($CR$2,D$3:CK$106,71,FALSE)</f>
        <v>x</v>
      </c>
      <c r="CS73" s="382" t="str">
        <f>HLOOKUP($CS$2,D$3:CK$106,71,FALSE)</f>
        <v>x</v>
      </c>
      <c r="CT73" s="370"/>
    </row>
    <row r="74" spans="1:98" ht="18" x14ac:dyDescent="0.35">
      <c r="A74" s="65"/>
      <c r="B74" s="90"/>
      <c r="C74" s="80" t="s">
        <v>320</v>
      </c>
      <c r="D74" s="358" t="e">
        <f>HLOOKUP($B$1,DGbaseF2V!$A$76:$S$92,15,0)*$B$2</f>
        <v>#N/A</v>
      </c>
      <c r="E74" s="81"/>
      <c r="F74" s="81"/>
      <c r="G74" s="81" t="e">
        <f t="shared" si="140"/>
        <v>#N/A</v>
      </c>
      <c r="H74" s="65"/>
      <c r="J74" s="65"/>
      <c r="K74" s="90"/>
      <c r="L74" s="80" t="s">
        <v>320</v>
      </c>
      <c r="M74" s="358" t="e">
        <f>HLOOKUP(K$1,DGbaseF2V!$A$76:$S$92,15,0)*K$2</f>
        <v>#N/A</v>
      </c>
      <c r="N74" s="81"/>
      <c r="O74" s="81"/>
      <c r="P74" s="81" t="e">
        <f t="shared" si="141"/>
        <v>#N/A</v>
      </c>
      <c r="Q74" s="65"/>
      <c r="S74" s="65"/>
      <c r="T74" s="90"/>
      <c r="U74" s="80" t="s">
        <v>320</v>
      </c>
      <c r="V74" s="358" t="e">
        <f>HLOOKUP(T$1,DGbaseF2V!$A$76:$S$92,15,0)*T$2</f>
        <v>#N/A</v>
      </c>
      <c r="W74" s="81"/>
      <c r="X74" s="81"/>
      <c r="Y74" s="81" t="e">
        <f t="shared" ref="Y74:Y76" si="150">V74+W74+X74</f>
        <v>#N/A</v>
      </c>
      <c r="Z74" s="65"/>
      <c r="AB74" s="65"/>
      <c r="AC74" s="90"/>
      <c r="AD74" s="80" t="s">
        <v>320</v>
      </c>
      <c r="AE74" s="358" t="e">
        <f>HLOOKUP(AC$1,DGbaseF2V!$A$76:$S$92,15,0)*AC$2</f>
        <v>#N/A</v>
      </c>
      <c r="AF74" s="81"/>
      <c r="AG74" s="81"/>
      <c r="AH74" s="81" t="e">
        <f t="shared" ref="AH74:AH76" si="151">AE74+AF74+AG74</f>
        <v>#N/A</v>
      </c>
      <c r="AI74" s="65"/>
      <c r="AK74" s="65"/>
      <c r="AL74" s="90"/>
      <c r="AM74" s="80" t="s">
        <v>320</v>
      </c>
      <c r="AN74" s="358" t="e">
        <f>HLOOKUP(AL$1,DGbaseF2V!$A$76:$S$92,15,0)*AL$2</f>
        <v>#N/A</v>
      </c>
      <c r="AO74" s="81"/>
      <c r="AP74" s="81"/>
      <c r="AQ74" s="81" t="e">
        <f t="shared" ref="AQ74:AQ76" si="152">AN74+AO74+AP74</f>
        <v>#N/A</v>
      </c>
      <c r="AR74" s="65"/>
      <c r="AT74" s="65"/>
      <c r="AU74" s="90"/>
      <c r="AV74" s="80" t="s">
        <v>320</v>
      </c>
      <c r="AW74" s="358" t="e">
        <f>HLOOKUP(AU$1,DGbaseF2V!$A$76:$S$92,15,0)*AU$2</f>
        <v>#N/A</v>
      </c>
      <c r="AX74" s="81"/>
      <c r="AY74" s="81"/>
      <c r="AZ74" s="81" t="e">
        <f t="shared" ref="AZ74:AZ76" si="153">AW74+AX74+AY74</f>
        <v>#N/A</v>
      </c>
      <c r="BA74" s="65"/>
      <c r="BC74" s="65"/>
      <c r="BD74" s="90"/>
      <c r="BE74" s="80" t="s">
        <v>320</v>
      </c>
      <c r="BF74" s="358" t="e">
        <f>HLOOKUP(BD$1,DGbaseF2V!$A$76:$S$92,15,0)*BD$2</f>
        <v>#N/A</v>
      </c>
      <c r="BG74" s="81"/>
      <c r="BH74" s="81"/>
      <c r="BI74" s="81" t="e">
        <f t="shared" ref="BI74:BI76" si="154">BF74+BG74+BH74</f>
        <v>#N/A</v>
      </c>
      <c r="BJ74" s="65"/>
      <c r="BL74" s="65"/>
      <c r="BM74" s="90"/>
      <c r="BN74" s="80" t="s">
        <v>320</v>
      </c>
      <c r="BO74" s="358" t="e">
        <f>HLOOKUP(BM$1,DGbaseF2V!$A$76:$S$92,15,0)*BM$2</f>
        <v>#N/A</v>
      </c>
      <c r="BP74" s="81"/>
      <c r="BQ74" s="81"/>
      <c r="BR74" s="81" t="e">
        <f t="shared" ref="BR74:BR76" si="155">BO74+BP74+BQ74</f>
        <v>#N/A</v>
      </c>
      <c r="BS74" s="65"/>
      <c r="BU74" s="65"/>
      <c r="BV74" s="90"/>
      <c r="BW74" s="80" t="s">
        <v>320</v>
      </c>
      <c r="BX74" s="358" t="e">
        <f>HLOOKUP(BV$1,DGbaseF2V!$A$76:$S$92,15,0)*BV$2</f>
        <v>#N/A</v>
      </c>
      <c r="BY74" s="81"/>
      <c r="BZ74" s="81"/>
      <c r="CA74" s="81" t="e">
        <f t="shared" ref="CA74:CA76" si="156">BX74+BY74+BZ74</f>
        <v>#N/A</v>
      </c>
      <c r="CB74" s="65"/>
      <c r="CD74" s="65"/>
      <c r="CE74" s="90"/>
      <c r="CF74" s="80" t="s">
        <v>320</v>
      </c>
      <c r="CG74" s="358" t="e">
        <f>HLOOKUP(CE$1,DGbaseF2V!$A$76:$S$92,15,0)*CE$2</f>
        <v>#N/A</v>
      </c>
      <c r="CH74" s="81"/>
      <c r="CI74" s="81"/>
      <c r="CJ74" s="81" t="e">
        <f t="shared" ref="CJ74:CJ76" si="157">CG74+CH74+CI74</f>
        <v>#N/A</v>
      </c>
      <c r="CK74" s="65"/>
      <c r="CM74" s="370"/>
      <c r="CN74" s="386"/>
      <c r="CO74" s="381" t="s">
        <v>320</v>
      </c>
      <c r="CP74" s="382" t="e">
        <f>HLOOKUP($CP$2,D$3:CK$106,72,FALSE)</f>
        <v>#N/A</v>
      </c>
      <c r="CQ74" s="382">
        <f>HLOOKUP($CQ$2,D$3:CK$106,72,FALSE)</f>
        <v>0</v>
      </c>
      <c r="CR74" s="382">
        <f>HLOOKUP($CR$2,D$3:CK$106,72,FALSE)</f>
        <v>0</v>
      </c>
      <c r="CS74" s="382" t="e">
        <f>HLOOKUP($CS$2,D$3:CK$106,72,FALSE)</f>
        <v>#N/A</v>
      </c>
      <c r="CT74" s="370"/>
    </row>
    <row r="75" spans="1:98" ht="18" x14ac:dyDescent="0.35">
      <c r="A75" s="65"/>
      <c r="B75" s="90"/>
      <c r="C75" s="80" t="s">
        <v>337</v>
      </c>
      <c r="D75" s="358">
        <f>HLOOKUP($B$1,DGbaseF2V!$A$58:$S$74,15,0)*$B$2</f>
        <v>-8.693131600000001E-5</v>
      </c>
      <c r="E75" s="81"/>
      <c r="F75" s="81"/>
      <c r="G75" s="81">
        <f t="shared" si="140"/>
        <v>-8.693131600000001E-5</v>
      </c>
      <c r="H75" s="65"/>
      <c r="J75" s="65"/>
      <c r="K75" s="90"/>
      <c r="L75" s="80" t="s">
        <v>337</v>
      </c>
      <c r="M75" s="358">
        <f>HLOOKUP(K$1,DGbaseF2V!$A$58:$S$74,15,0)*K$2</f>
        <v>-8.693131600000001E-5</v>
      </c>
      <c r="N75" s="81"/>
      <c r="O75" s="81"/>
      <c r="P75" s="81">
        <f t="shared" si="141"/>
        <v>-8.693131600000001E-5</v>
      </c>
      <c r="Q75" s="65"/>
      <c r="S75" s="65"/>
      <c r="T75" s="90"/>
      <c r="U75" s="80" t="s">
        <v>337</v>
      </c>
      <c r="V75" s="358">
        <f>HLOOKUP(T$1,DGbaseF2V!$A$58:$S$74,15,0)*T$2</f>
        <v>-1.7058318915E-4</v>
      </c>
      <c r="W75" s="81"/>
      <c r="X75" s="81"/>
      <c r="Y75" s="81">
        <f t="shared" si="150"/>
        <v>-1.7058318915E-4</v>
      </c>
      <c r="Z75" s="65"/>
      <c r="AB75" s="65"/>
      <c r="AC75" s="90"/>
      <c r="AD75" s="80" t="s">
        <v>337</v>
      </c>
      <c r="AE75" s="358">
        <f>HLOOKUP(AC$1,DGbaseF2V!$A$58:$S$74,15,0)*AC$2</f>
        <v>-1.3956806385000001E-4</v>
      </c>
      <c r="AF75" s="81"/>
      <c r="AG75" s="81"/>
      <c r="AH75" s="81">
        <f t="shared" si="151"/>
        <v>-1.3956806385000001E-4</v>
      </c>
      <c r="AI75" s="65"/>
      <c r="AK75" s="65"/>
      <c r="AL75" s="90"/>
      <c r="AM75" s="80" t="s">
        <v>337</v>
      </c>
      <c r="AN75" s="358">
        <f>HLOOKUP(AL$1,DGbaseF2V!$A$58:$S$74,15,0)*AL$2</f>
        <v>-7.3891618600000018E-4</v>
      </c>
      <c r="AO75" s="81"/>
      <c r="AP75" s="81"/>
      <c r="AQ75" s="81">
        <f t="shared" si="152"/>
        <v>-7.3891618600000018E-4</v>
      </c>
      <c r="AR75" s="65"/>
      <c r="AT75" s="65"/>
      <c r="AU75" s="90"/>
      <c r="AV75" s="80" t="s">
        <v>337</v>
      </c>
      <c r="AW75" s="358">
        <f>HLOOKUP(AU$1,DGbaseF2V!$A$58:$S$74,15,0)*AU$2</f>
        <v>-1.30396974E-4</v>
      </c>
      <c r="AX75" s="81"/>
      <c r="AY75" s="81"/>
      <c r="AZ75" s="81">
        <f t="shared" si="153"/>
        <v>-1.30396974E-4</v>
      </c>
      <c r="BA75" s="65"/>
      <c r="BC75" s="65"/>
      <c r="BD75" s="90"/>
      <c r="BE75" s="80" t="s">
        <v>337</v>
      </c>
      <c r="BF75" s="358">
        <f>HLOOKUP(BD$1,DGbaseF2V!$A$58:$S$74,15,0)*BD$2</f>
        <v>-1.4343667140000001E-4</v>
      </c>
      <c r="BG75" s="81"/>
      <c r="BH75" s="81"/>
      <c r="BI75" s="81">
        <f t="shared" si="154"/>
        <v>-1.4343667140000001E-4</v>
      </c>
      <c r="BJ75" s="65"/>
      <c r="BL75" s="65"/>
      <c r="BM75" s="90"/>
      <c r="BN75" s="80" t="s">
        <v>337</v>
      </c>
      <c r="BO75" s="358">
        <f>HLOOKUP(BM$1,DGbaseF2V!$A$58:$S$74,15,0)*BM$2</f>
        <v>-4.3465658000000005E-5</v>
      </c>
      <c r="BP75" s="81"/>
      <c r="BQ75" s="81"/>
      <c r="BR75" s="81">
        <f t="shared" si="155"/>
        <v>-4.3465658000000005E-5</v>
      </c>
      <c r="BS75" s="65"/>
      <c r="BU75" s="65"/>
      <c r="BV75" s="90"/>
      <c r="BW75" s="80" t="s">
        <v>337</v>
      </c>
      <c r="BX75" s="358">
        <f>HLOOKUP(BV$1,DGbaseF2V!$A$58:$S$74,15,0)*BV$2</f>
        <v>-8.693131600000001E-5</v>
      </c>
      <c r="BY75" s="81"/>
      <c r="BZ75" s="81"/>
      <c r="CA75" s="81">
        <f t="shared" si="156"/>
        <v>-8.693131600000001E-5</v>
      </c>
      <c r="CB75" s="65"/>
      <c r="CD75" s="65"/>
      <c r="CE75" s="90"/>
      <c r="CF75" s="80" t="s">
        <v>337</v>
      </c>
      <c r="CG75" s="358">
        <f>HLOOKUP(CE$1,DGbaseF2V!$A$58:$S$74,15,0)*CE$2</f>
        <v>-7.3891618600000015E-5</v>
      </c>
      <c r="CH75" s="81"/>
      <c r="CI75" s="81"/>
      <c r="CJ75" s="81">
        <f t="shared" si="157"/>
        <v>-7.3891618600000015E-5</v>
      </c>
      <c r="CK75" s="65"/>
      <c r="CM75" s="370"/>
      <c r="CN75" s="386"/>
      <c r="CO75" s="381" t="s">
        <v>337</v>
      </c>
      <c r="CP75" s="382">
        <f>HLOOKUP($CP$2,D$3:CK$106,73,FALSE)</f>
        <v>-8.693131600000001E-5</v>
      </c>
      <c r="CQ75" s="382">
        <f>HLOOKUP($CQ$2,D$3:CK$106,73,FALSE)</f>
        <v>0</v>
      </c>
      <c r="CR75" s="382">
        <f>HLOOKUP($CR$2,D$3:CK$106,73,FALSE)</f>
        <v>0</v>
      </c>
      <c r="CS75" s="382">
        <f>HLOOKUP($CS$2,D$3:CK$106,73,FALSE)</f>
        <v>-8.693131600000001E-5</v>
      </c>
      <c r="CT75" s="370"/>
    </row>
    <row r="76" spans="1:98" ht="18" x14ac:dyDescent="0.35">
      <c r="A76" s="65"/>
      <c r="B76" s="90"/>
      <c r="C76" s="80" t="s">
        <v>321</v>
      </c>
      <c r="D76" s="358" t="e">
        <f>HLOOKUP($B$1,DGbaseF2V!$A$22:$S$38,15,0)*$B$2</f>
        <v>#N/A</v>
      </c>
      <c r="E76" s="81"/>
      <c r="F76" s="81"/>
      <c r="G76" s="81" t="e">
        <f t="shared" si="140"/>
        <v>#N/A</v>
      </c>
      <c r="H76" s="65"/>
      <c r="J76" s="65"/>
      <c r="K76" s="90"/>
      <c r="L76" s="80" t="s">
        <v>321</v>
      </c>
      <c r="M76" s="358" t="e">
        <f>HLOOKUP(K$1,DGbaseF2V!$A$22:$S$38,15,0)*K$2</f>
        <v>#N/A</v>
      </c>
      <c r="N76" s="81"/>
      <c r="O76" s="81"/>
      <c r="P76" s="81" t="e">
        <f t="shared" si="141"/>
        <v>#N/A</v>
      </c>
      <c r="Q76" s="65"/>
      <c r="S76" s="65"/>
      <c r="T76" s="90"/>
      <c r="U76" s="80" t="s">
        <v>321</v>
      </c>
      <c r="V76" s="358" t="e">
        <f>HLOOKUP(T$1,DGbaseF2V!$A$22:$S$38,15,0)*T$2</f>
        <v>#N/A</v>
      </c>
      <c r="W76" s="81"/>
      <c r="X76" s="81"/>
      <c r="Y76" s="81" t="e">
        <f t="shared" si="150"/>
        <v>#N/A</v>
      </c>
      <c r="Z76" s="65"/>
      <c r="AB76" s="65"/>
      <c r="AC76" s="90"/>
      <c r="AD76" s="80" t="s">
        <v>321</v>
      </c>
      <c r="AE76" s="358" t="e">
        <f>HLOOKUP(AC$1,DGbaseF2V!$A$22:$S$38,15,0)*AC$2</f>
        <v>#N/A</v>
      </c>
      <c r="AF76" s="81"/>
      <c r="AG76" s="81"/>
      <c r="AH76" s="81" t="e">
        <f t="shared" si="151"/>
        <v>#N/A</v>
      </c>
      <c r="AI76" s="65"/>
      <c r="AK76" s="65"/>
      <c r="AL76" s="90"/>
      <c r="AM76" s="80" t="s">
        <v>321</v>
      </c>
      <c r="AN76" s="358" t="e">
        <f>HLOOKUP(AL$1,DGbaseF2V!$A$22:$S$38,15,0)*AL$2</f>
        <v>#N/A</v>
      </c>
      <c r="AO76" s="81"/>
      <c r="AP76" s="81"/>
      <c r="AQ76" s="81" t="e">
        <f t="shared" si="152"/>
        <v>#N/A</v>
      </c>
      <c r="AR76" s="65"/>
      <c r="AT76" s="65"/>
      <c r="AU76" s="90"/>
      <c r="AV76" s="80" t="s">
        <v>321</v>
      </c>
      <c r="AW76" s="358" t="e">
        <f>HLOOKUP(AU$1,DGbaseF2V!$A$22:$S$38,15,0)*AU$2</f>
        <v>#N/A</v>
      </c>
      <c r="AX76" s="81"/>
      <c r="AY76" s="81"/>
      <c r="AZ76" s="81" t="e">
        <f t="shared" si="153"/>
        <v>#N/A</v>
      </c>
      <c r="BA76" s="65"/>
      <c r="BC76" s="65"/>
      <c r="BD76" s="90"/>
      <c r="BE76" s="80" t="s">
        <v>321</v>
      </c>
      <c r="BF76" s="358">
        <f>HLOOKUP(BD$1,DGbaseF2V!$A$22:$S$38,15,0)*BD$2</f>
        <v>3.6102151800000005E-3</v>
      </c>
      <c r="BG76" s="81"/>
      <c r="BH76" s="81"/>
      <c r="BI76" s="81">
        <f t="shared" si="154"/>
        <v>3.6102151800000005E-3</v>
      </c>
      <c r="BJ76" s="65"/>
      <c r="BL76" s="65"/>
      <c r="BM76" s="90"/>
      <c r="BN76" s="80" t="s">
        <v>321</v>
      </c>
      <c r="BO76" s="358">
        <f>HLOOKUP(BM$1,DGbaseF2V!$A$22:$S$38,15,0)*BM$2</f>
        <v>1.0940046E-3</v>
      </c>
      <c r="BP76" s="81"/>
      <c r="BQ76" s="81"/>
      <c r="BR76" s="81">
        <f t="shared" si="155"/>
        <v>1.0940046E-3</v>
      </c>
      <c r="BS76" s="65"/>
      <c r="BU76" s="65"/>
      <c r="BV76" s="90"/>
      <c r="BW76" s="80" t="s">
        <v>321</v>
      </c>
      <c r="BX76" s="358" t="e">
        <f>HLOOKUP(BV$1,DGbaseF2V!$A$22:$S$38,15,0)*BV$2</f>
        <v>#N/A</v>
      </c>
      <c r="BY76" s="81"/>
      <c r="BZ76" s="81"/>
      <c r="CA76" s="81" t="e">
        <f t="shared" si="156"/>
        <v>#N/A</v>
      </c>
      <c r="CB76" s="65"/>
      <c r="CD76" s="65"/>
      <c r="CE76" s="90"/>
      <c r="CF76" s="80" t="s">
        <v>321</v>
      </c>
      <c r="CG76" s="358" t="e">
        <f>HLOOKUP(CE$1,DGbaseF2V!$A$22:$S$38,15,0)*CE$2</f>
        <v>#N/A</v>
      </c>
      <c r="CH76" s="81"/>
      <c r="CI76" s="81"/>
      <c r="CJ76" s="81" t="e">
        <f t="shared" si="157"/>
        <v>#N/A</v>
      </c>
      <c r="CK76" s="65"/>
      <c r="CM76" s="370"/>
      <c r="CN76" s="386"/>
      <c r="CO76" s="381" t="s">
        <v>321</v>
      </c>
      <c r="CP76" s="382" t="e">
        <f>HLOOKUP($CP$2,D$3:CK$106,74,FALSE)</f>
        <v>#N/A</v>
      </c>
      <c r="CQ76" s="382">
        <f>HLOOKUP($CQ$2,D$3:CK$106,74,FALSE)</f>
        <v>0</v>
      </c>
      <c r="CR76" s="382">
        <f>HLOOKUP($CR$2,D$3:CK$106,74,FALSE)</f>
        <v>0</v>
      </c>
      <c r="CS76" s="382" t="e">
        <f>HLOOKUP($CS$2,D$3:CK$106,74,FALSE)</f>
        <v>#N/A</v>
      </c>
      <c r="CT76" s="370"/>
    </row>
    <row r="77" spans="1:98" ht="18" x14ac:dyDescent="0.35">
      <c r="A77" s="65"/>
      <c r="B77" s="90"/>
      <c r="C77" s="80" t="s">
        <v>322</v>
      </c>
      <c r="D77" s="81" t="s">
        <v>19</v>
      </c>
      <c r="E77" s="81" t="s">
        <v>19</v>
      </c>
      <c r="F77" s="81" t="s">
        <v>19</v>
      </c>
      <c r="G77" s="81" t="s">
        <v>19</v>
      </c>
      <c r="H77" s="65"/>
      <c r="J77" s="65"/>
      <c r="K77" s="90"/>
      <c r="L77" s="80" t="s">
        <v>322</v>
      </c>
      <c r="M77" s="81" t="s">
        <v>19</v>
      </c>
      <c r="N77" s="81" t="s">
        <v>19</v>
      </c>
      <c r="O77" s="81" t="s">
        <v>19</v>
      </c>
      <c r="P77" s="81" t="s">
        <v>19</v>
      </c>
      <c r="Q77" s="65"/>
      <c r="S77" s="65"/>
      <c r="T77" s="90"/>
      <c r="U77" s="80" t="s">
        <v>322</v>
      </c>
      <c r="V77" s="81" t="s">
        <v>19</v>
      </c>
      <c r="W77" s="81" t="s">
        <v>19</v>
      </c>
      <c r="X77" s="81" t="s">
        <v>19</v>
      </c>
      <c r="Y77" s="81" t="s">
        <v>19</v>
      </c>
      <c r="Z77" s="65"/>
      <c r="AB77" s="65"/>
      <c r="AC77" s="90"/>
      <c r="AD77" s="80" t="s">
        <v>322</v>
      </c>
      <c r="AE77" s="81" t="s">
        <v>19</v>
      </c>
      <c r="AF77" s="81" t="s">
        <v>19</v>
      </c>
      <c r="AG77" s="81" t="s">
        <v>19</v>
      </c>
      <c r="AH77" s="81" t="s">
        <v>19</v>
      </c>
      <c r="AI77" s="65"/>
      <c r="AK77" s="65"/>
      <c r="AL77" s="90"/>
      <c r="AM77" s="80" t="s">
        <v>322</v>
      </c>
      <c r="AN77" s="81" t="s">
        <v>19</v>
      </c>
      <c r="AO77" s="81" t="s">
        <v>19</v>
      </c>
      <c r="AP77" s="81" t="s">
        <v>19</v>
      </c>
      <c r="AQ77" s="81" t="s">
        <v>19</v>
      </c>
      <c r="AR77" s="65"/>
      <c r="AT77" s="65"/>
      <c r="AU77" s="90"/>
      <c r="AV77" s="80" t="s">
        <v>322</v>
      </c>
      <c r="AW77" s="81" t="s">
        <v>19</v>
      </c>
      <c r="AX77" s="81" t="s">
        <v>19</v>
      </c>
      <c r="AY77" s="81" t="s">
        <v>19</v>
      </c>
      <c r="AZ77" s="81" t="s">
        <v>19</v>
      </c>
      <c r="BA77" s="65"/>
      <c r="BC77" s="65"/>
      <c r="BD77" s="90"/>
      <c r="BE77" s="80" t="s">
        <v>322</v>
      </c>
      <c r="BF77" s="81" t="s">
        <v>19</v>
      </c>
      <c r="BG77" s="81" t="s">
        <v>19</v>
      </c>
      <c r="BH77" s="81" t="s">
        <v>19</v>
      </c>
      <c r="BI77" s="81" t="s">
        <v>19</v>
      </c>
      <c r="BJ77" s="65"/>
      <c r="BL77" s="65"/>
      <c r="BM77" s="90"/>
      <c r="BN77" s="80" t="s">
        <v>322</v>
      </c>
      <c r="BO77" s="81" t="s">
        <v>19</v>
      </c>
      <c r="BP77" s="81" t="s">
        <v>19</v>
      </c>
      <c r="BQ77" s="81" t="s">
        <v>19</v>
      </c>
      <c r="BR77" s="81" t="s">
        <v>19</v>
      </c>
      <c r="BS77" s="65"/>
      <c r="BU77" s="65"/>
      <c r="BV77" s="90"/>
      <c r="BW77" s="80" t="s">
        <v>322</v>
      </c>
      <c r="BX77" s="81" t="s">
        <v>19</v>
      </c>
      <c r="BY77" s="81" t="s">
        <v>19</v>
      </c>
      <c r="BZ77" s="81" t="s">
        <v>19</v>
      </c>
      <c r="CA77" s="81" t="s">
        <v>19</v>
      </c>
      <c r="CB77" s="65"/>
      <c r="CD77" s="65"/>
      <c r="CE77" s="90"/>
      <c r="CF77" s="80" t="s">
        <v>322</v>
      </c>
      <c r="CG77" s="81" t="s">
        <v>19</v>
      </c>
      <c r="CH77" s="81" t="s">
        <v>19</v>
      </c>
      <c r="CI77" s="81" t="s">
        <v>19</v>
      </c>
      <c r="CJ77" s="81" t="s">
        <v>19</v>
      </c>
      <c r="CK77" s="65"/>
      <c r="CM77" s="370"/>
      <c r="CN77" s="386"/>
      <c r="CO77" s="381" t="s">
        <v>322</v>
      </c>
      <c r="CP77" s="382" t="str">
        <f>HLOOKUP($CP$2,D$3:CK$106,75,FALSE)</f>
        <v>x</v>
      </c>
      <c r="CQ77" s="382" t="str">
        <f>HLOOKUP($CQ$2,D$3:CK$106,75,FALSE)</f>
        <v>x</v>
      </c>
      <c r="CR77" s="382" t="str">
        <f>HLOOKUP($CR$2,D$3:CK$106,75,FALSE)</f>
        <v>x</v>
      </c>
      <c r="CS77" s="382" t="str">
        <f>HLOOKUP($CS$2,D$3:CK$106,75,FALSE)</f>
        <v>x</v>
      </c>
      <c r="CT77" s="370"/>
    </row>
    <row r="78" spans="1:98" ht="18" x14ac:dyDescent="0.35">
      <c r="A78" s="65"/>
      <c r="B78" s="90"/>
      <c r="C78" s="80" t="s">
        <v>339</v>
      </c>
      <c r="D78" s="358">
        <f>HLOOKUP($B$1,DGbaseF2V!$A$40:$S$56,15,0)*$B$2</f>
        <v>2.9764935999999999E-2</v>
      </c>
      <c r="E78" s="81"/>
      <c r="F78" s="81"/>
      <c r="G78" s="81">
        <f t="shared" si="140"/>
        <v>2.9764935999999999E-2</v>
      </c>
      <c r="H78" s="65"/>
      <c r="J78" s="65"/>
      <c r="K78" s="90"/>
      <c r="L78" s="80" t="s">
        <v>339</v>
      </c>
      <c r="M78" s="358">
        <f>HLOOKUP(K$1,DGbaseF2V!$A$40:$S$56,15,0)*K$2</f>
        <v>1.9037292400000003E-2</v>
      </c>
      <c r="N78" s="81"/>
      <c r="O78" s="81"/>
      <c r="P78" s="81">
        <f t="shared" si="141"/>
        <v>1.9037292400000003E-2</v>
      </c>
      <c r="Q78" s="65"/>
      <c r="S78" s="65"/>
      <c r="T78" s="90"/>
      <c r="U78" s="80" t="s">
        <v>339</v>
      </c>
      <c r="V78" s="358">
        <f>HLOOKUP(T$1,DGbaseF2V!$A$40:$S$56,15,0)*T$2</f>
        <v>3.4189087239999999E-2</v>
      </c>
      <c r="W78" s="81"/>
      <c r="X78" s="81"/>
      <c r="Y78" s="81">
        <f t="shared" ref="Y78" si="158">V78+W78+X78</f>
        <v>3.4189087239999999E-2</v>
      </c>
      <c r="Z78" s="65"/>
      <c r="AB78" s="65"/>
      <c r="AC78" s="90"/>
      <c r="AD78" s="80" t="s">
        <v>339</v>
      </c>
      <c r="AE78" s="358">
        <f>HLOOKUP(AC$1,DGbaseF2V!$A$40:$S$56,15,0)*AC$2</f>
        <v>2.7972889559999999E-2</v>
      </c>
      <c r="AF78" s="81"/>
      <c r="AG78" s="81"/>
      <c r="AH78" s="81">
        <f t="shared" ref="AH78" si="159">AE78+AF78+AG78</f>
        <v>2.7972889559999999E-2</v>
      </c>
      <c r="AI78" s="65"/>
      <c r="AK78" s="65"/>
      <c r="AL78" s="90"/>
      <c r="AM78" s="80" t="s">
        <v>339</v>
      </c>
      <c r="AN78" s="358">
        <f>HLOOKUP(AL$1,DGbaseF2V!$A$40:$S$56,15,0)*AL$2</f>
        <v>0.25300195600000003</v>
      </c>
      <c r="AO78" s="81"/>
      <c r="AP78" s="81"/>
      <c r="AQ78" s="81">
        <f t="shared" ref="AQ78" si="160">AN78+AO78+AP78</f>
        <v>0.25300195600000003</v>
      </c>
      <c r="AR78" s="65"/>
      <c r="AT78" s="65"/>
      <c r="AU78" s="90"/>
      <c r="AV78" s="80" t="s">
        <v>339</v>
      </c>
      <c r="AW78" s="358">
        <f>HLOOKUP(AU$1,DGbaseF2V!$A$40:$S$56,15,0)*AU$2</f>
        <v>2.8555938600000001E-2</v>
      </c>
      <c r="AX78" s="81"/>
      <c r="AY78" s="81"/>
      <c r="AZ78" s="81">
        <f t="shared" ref="AZ78" si="161">AW78+AX78+AY78</f>
        <v>2.8555938600000001E-2</v>
      </c>
      <c r="BA78" s="65"/>
      <c r="BC78" s="65"/>
      <c r="BD78" s="90"/>
      <c r="BE78" s="80" t="s">
        <v>339</v>
      </c>
      <c r="BF78" s="358">
        <f>HLOOKUP(BD$1,DGbaseF2V!$A$40:$S$56,15,0)*BD$2</f>
        <v>3.6102151800000005E-3</v>
      </c>
      <c r="BG78" s="81"/>
      <c r="BH78" s="81"/>
      <c r="BI78" s="81">
        <f t="shared" ref="BI78" si="162">BF78+BG78+BH78</f>
        <v>3.6102151800000005E-3</v>
      </c>
      <c r="BJ78" s="65"/>
      <c r="BL78" s="65"/>
      <c r="BM78" s="90"/>
      <c r="BN78" s="80" t="s">
        <v>339</v>
      </c>
      <c r="BO78" s="358">
        <f>HLOOKUP(BM$1,DGbaseF2V!$A$40:$S$56,15,0)*BM$2</f>
        <v>1.0940046E-3</v>
      </c>
      <c r="BP78" s="81"/>
      <c r="BQ78" s="81"/>
      <c r="BR78" s="81">
        <f t="shared" ref="BR78" si="163">BO78+BP78+BQ78</f>
        <v>1.0940046E-3</v>
      </c>
      <c r="BS78" s="65"/>
      <c r="BU78" s="65"/>
      <c r="BV78" s="90"/>
      <c r="BW78" s="80" t="s">
        <v>339</v>
      </c>
      <c r="BX78" s="358">
        <f>HLOOKUP(BV$1,DGbaseF2V!$A$40:$S$56,15,0)*BV$2</f>
        <v>1.9037292400000003E-2</v>
      </c>
      <c r="BY78" s="81"/>
      <c r="BZ78" s="81"/>
      <c r="CA78" s="81">
        <f t="shared" ref="CA78" si="164">BX78+BY78+BZ78</f>
        <v>1.9037292400000003E-2</v>
      </c>
      <c r="CB78" s="65"/>
      <c r="CD78" s="65"/>
      <c r="CE78" s="90"/>
      <c r="CF78" s="80" t="s">
        <v>339</v>
      </c>
      <c r="CG78" s="358">
        <f>HLOOKUP(CE$1,DGbaseF2V!$A$40:$S$56,15,0)*CE$2</f>
        <v>2.5300195600000002E-2</v>
      </c>
      <c r="CH78" s="81"/>
      <c r="CI78" s="81"/>
      <c r="CJ78" s="81">
        <f t="shared" ref="CJ78" si="165">CG78+CH78+CI78</f>
        <v>2.5300195600000002E-2</v>
      </c>
      <c r="CK78" s="65"/>
      <c r="CM78" s="370"/>
      <c r="CN78" s="386"/>
      <c r="CO78" s="381" t="s">
        <v>339</v>
      </c>
      <c r="CP78" s="382">
        <f>HLOOKUP($CP$2,D$3:CK$106,76,FALSE)</f>
        <v>1.9037292400000003E-2</v>
      </c>
      <c r="CQ78" s="382">
        <f>HLOOKUP($CQ$2,D$3:CK$106,76,FALSE)</f>
        <v>0</v>
      </c>
      <c r="CR78" s="382">
        <f>HLOOKUP($CR$2,D$3:CK$106,76,FALSE)</f>
        <v>0</v>
      </c>
      <c r="CS78" s="382">
        <f>HLOOKUP($CS$2,D$3:CK$106,76,FALSE)</f>
        <v>1.9037292400000003E-2</v>
      </c>
      <c r="CT78" s="370"/>
    </row>
    <row r="79" spans="1:98" ht="18" x14ac:dyDescent="0.35">
      <c r="A79" s="65"/>
      <c r="B79" s="90"/>
      <c r="C79" s="80" t="s">
        <v>340</v>
      </c>
      <c r="D79" s="86"/>
      <c r="E79" s="86"/>
      <c r="F79" s="86"/>
      <c r="G79" s="86"/>
      <c r="H79" s="89" t="s">
        <v>341</v>
      </c>
      <c r="J79" s="65"/>
      <c r="K79" s="90"/>
      <c r="L79" s="80" t="s">
        <v>340</v>
      </c>
      <c r="M79" s="86"/>
      <c r="N79" s="86"/>
      <c r="O79" s="86"/>
      <c r="P79" s="86"/>
      <c r="Q79" s="89" t="s">
        <v>341</v>
      </c>
      <c r="S79" s="65"/>
      <c r="T79" s="90"/>
      <c r="U79" s="80" t="s">
        <v>340</v>
      </c>
      <c r="V79" s="86"/>
      <c r="W79" s="86"/>
      <c r="X79" s="86"/>
      <c r="Y79" s="86"/>
      <c r="Z79" s="89" t="s">
        <v>341</v>
      </c>
      <c r="AB79" s="65"/>
      <c r="AC79" s="90"/>
      <c r="AD79" s="80" t="s">
        <v>340</v>
      </c>
      <c r="AE79" s="86"/>
      <c r="AF79" s="86"/>
      <c r="AG79" s="86"/>
      <c r="AH79" s="86"/>
      <c r="AI79" s="89" t="s">
        <v>341</v>
      </c>
      <c r="AK79" s="65"/>
      <c r="AL79" s="90"/>
      <c r="AM79" s="80" t="s">
        <v>340</v>
      </c>
      <c r="AN79" s="86"/>
      <c r="AO79" s="86"/>
      <c r="AP79" s="86"/>
      <c r="AQ79" s="86"/>
      <c r="AR79" s="89" t="s">
        <v>341</v>
      </c>
      <c r="AT79" s="65"/>
      <c r="AU79" s="90"/>
      <c r="AV79" s="80" t="s">
        <v>340</v>
      </c>
      <c r="AW79" s="86"/>
      <c r="AX79" s="86"/>
      <c r="AY79" s="86"/>
      <c r="AZ79" s="86"/>
      <c r="BA79" s="89" t="s">
        <v>341</v>
      </c>
      <c r="BC79" s="65"/>
      <c r="BD79" s="90"/>
      <c r="BE79" s="80" t="s">
        <v>340</v>
      </c>
      <c r="BF79" s="86"/>
      <c r="BG79" s="86"/>
      <c r="BH79" s="86"/>
      <c r="BI79" s="86"/>
      <c r="BJ79" s="89" t="s">
        <v>341</v>
      </c>
      <c r="BL79" s="65"/>
      <c r="BM79" s="90"/>
      <c r="BN79" s="80" t="s">
        <v>340</v>
      </c>
      <c r="BO79" s="86"/>
      <c r="BP79" s="86"/>
      <c r="BQ79" s="86"/>
      <c r="BR79" s="86"/>
      <c r="BS79" s="89" t="s">
        <v>341</v>
      </c>
      <c r="BU79" s="65"/>
      <c r="BV79" s="90"/>
      <c r="BW79" s="80" t="s">
        <v>340</v>
      </c>
      <c r="BX79" s="86"/>
      <c r="BY79" s="86"/>
      <c r="BZ79" s="86"/>
      <c r="CA79" s="86"/>
      <c r="CB79" s="89" t="s">
        <v>341</v>
      </c>
      <c r="CD79" s="65"/>
      <c r="CE79" s="90"/>
      <c r="CF79" s="80" t="s">
        <v>340</v>
      </c>
      <c r="CG79" s="86"/>
      <c r="CH79" s="86"/>
      <c r="CI79" s="86"/>
      <c r="CJ79" s="86"/>
      <c r="CK79" s="89" t="s">
        <v>341</v>
      </c>
      <c r="CM79" s="370"/>
      <c r="CN79" s="386"/>
      <c r="CO79" s="381" t="s">
        <v>340</v>
      </c>
      <c r="CP79" s="382"/>
      <c r="CQ79" s="382"/>
      <c r="CR79" s="382"/>
      <c r="CS79" s="382"/>
      <c r="CT79" s="385" t="s">
        <v>341</v>
      </c>
    </row>
    <row r="80" spans="1:98" ht="18" x14ac:dyDescent="0.35">
      <c r="A80" s="65"/>
      <c r="B80" s="90"/>
      <c r="C80" s="85"/>
      <c r="D80" s="92"/>
      <c r="E80" s="92"/>
      <c r="F80" s="92"/>
      <c r="G80" s="92"/>
      <c r="H80" s="65"/>
      <c r="J80" s="65"/>
      <c r="K80" s="90"/>
      <c r="L80" s="85"/>
      <c r="M80" s="92"/>
      <c r="N80" s="92"/>
      <c r="O80" s="92"/>
      <c r="P80" s="92"/>
      <c r="Q80" s="65"/>
      <c r="S80" s="65"/>
      <c r="T80" s="90"/>
      <c r="U80" s="85"/>
      <c r="V80" s="92"/>
      <c r="W80" s="92"/>
      <c r="X80" s="92"/>
      <c r="Y80" s="92"/>
      <c r="Z80" s="65"/>
      <c r="AB80" s="65"/>
      <c r="AC80" s="90"/>
      <c r="AD80" s="85"/>
      <c r="AE80" s="92"/>
      <c r="AF80" s="92"/>
      <c r="AG80" s="92"/>
      <c r="AH80" s="92"/>
      <c r="AI80" s="65"/>
      <c r="AK80" s="65"/>
      <c r="AL80" s="90"/>
      <c r="AM80" s="85"/>
      <c r="AN80" s="92"/>
      <c r="AO80" s="92"/>
      <c r="AP80" s="92"/>
      <c r="AQ80" s="92"/>
      <c r="AR80" s="65"/>
      <c r="AT80" s="65"/>
      <c r="AU80" s="90"/>
      <c r="AV80" s="85"/>
      <c r="AW80" s="92"/>
      <c r="AX80" s="92"/>
      <c r="AY80" s="92"/>
      <c r="AZ80" s="92"/>
      <c r="BA80" s="65"/>
      <c r="BC80" s="65"/>
      <c r="BD80" s="90"/>
      <c r="BE80" s="85"/>
      <c r="BF80" s="92"/>
      <c r="BG80" s="92"/>
      <c r="BH80" s="92"/>
      <c r="BI80" s="92"/>
      <c r="BJ80" s="65"/>
      <c r="BL80" s="65"/>
      <c r="BM80" s="90"/>
      <c r="BN80" s="85"/>
      <c r="BO80" s="92"/>
      <c r="BP80" s="92"/>
      <c r="BQ80" s="92"/>
      <c r="BR80" s="92"/>
      <c r="BS80" s="65"/>
      <c r="BU80" s="65"/>
      <c r="BV80" s="90"/>
      <c r="BW80" s="85"/>
      <c r="BX80" s="92"/>
      <c r="BY80" s="92"/>
      <c r="BZ80" s="92"/>
      <c r="CA80" s="92"/>
      <c r="CB80" s="65"/>
      <c r="CD80" s="65"/>
      <c r="CE80" s="90"/>
      <c r="CF80" s="85"/>
      <c r="CG80" s="92"/>
      <c r="CH80" s="92"/>
      <c r="CI80" s="92"/>
      <c r="CJ80" s="92"/>
      <c r="CK80" s="65"/>
      <c r="CM80" s="370"/>
      <c r="CN80" s="386"/>
      <c r="CO80" s="383"/>
      <c r="CP80" s="382"/>
      <c r="CQ80" s="382"/>
      <c r="CR80" s="382"/>
      <c r="CS80" s="382"/>
      <c r="CT80" s="370"/>
    </row>
    <row r="81" spans="1:98" ht="18" x14ac:dyDescent="0.35">
      <c r="A81" s="20"/>
      <c r="B81" s="95"/>
      <c r="C81" s="105"/>
      <c r="D81" s="112"/>
      <c r="E81" s="112"/>
      <c r="F81" s="112"/>
      <c r="G81" s="112"/>
      <c r="H81" s="20"/>
      <c r="J81" s="20"/>
      <c r="K81" s="95"/>
      <c r="L81" s="105"/>
      <c r="M81" s="112"/>
      <c r="N81" s="112"/>
      <c r="O81" s="112"/>
      <c r="P81" s="112"/>
      <c r="Q81" s="20"/>
      <c r="S81" s="20"/>
      <c r="T81" s="95"/>
      <c r="U81" s="105"/>
      <c r="V81" s="112"/>
      <c r="W81" s="112"/>
      <c r="X81" s="112"/>
      <c r="Y81" s="112"/>
      <c r="Z81" s="20"/>
      <c r="AB81" s="20"/>
      <c r="AC81" s="95"/>
      <c r="AD81" s="105"/>
      <c r="AE81" s="112"/>
      <c r="AF81" s="112"/>
      <c r="AG81" s="112"/>
      <c r="AH81" s="112"/>
      <c r="AI81" s="20"/>
      <c r="AK81" s="20"/>
      <c r="AL81" s="95"/>
      <c r="AM81" s="105"/>
      <c r="AN81" s="112"/>
      <c r="AO81" s="112"/>
      <c r="AP81" s="112"/>
      <c r="AQ81" s="112"/>
      <c r="AR81" s="20"/>
      <c r="AT81" s="20"/>
      <c r="AU81" s="95"/>
      <c r="AV81" s="105"/>
      <c r="AW81" s="112"/>
      <c r="AX81" s="112"/>
      <c r="AY81" s="112"/>
      <c r="AZ81" s="112"/>
      <c r="BA81" s="20"/>
      <c r="BC81" s="20"/>
      <c r="BD81" s="95"/>
      <c r="BE81" s="105"/>
      <c r="BF81" s="112"/>
      <c r="BG81" s="112"/>
      <c r="BH81" s="112"/>
      <c r="BI81" s="112"/>
      <c r="BJ81" s="20"/>
      <c r="BL81" s="20"/>
      <c r="BM81" s="95"/>
      <c r="BN81" s="105"/>
      <c r="BO81" s="112"/>
      <c r="BP81" s="112"/>
      <c r="BQ81" s="112"/>
      <c r="BR81" s="112"/>
      <c r="BS81" s="20"/>
      <c r="BU81" s="20"/>
      <c r="BV81" s="95"/>
      <c r="BW81" s="105"/>
      <c r="BX81" s="112"/>
      <c r="BY81" s="112"/>
      <c r="BZ81" s="112"/>
      <c r="CA81" s="112"/>
      <c r="CB81" s="20"/>
      <c r="CD81" s="20"/>
      <c r="CE81" s="95"/>
      <c r="CF81" s="105"/>
      <c r="CG81" s="112"/>
      <c r="CH81" s="112"/>
      <c r="CI81" s="112"/>
      <c r="CJ81" s="112"/>
      <c r="CK81" s="20"/>
      <c r="CM81" s="370"/>
      <c r="CN81" s="386"/>
      <c r="CO81" s="383"/>
      <c r="CP81" s="382"/>
      <c r="CQ81" s="382"/>
      <c r="CR81" s="382"/>
      <c r="CS81" s="382"/>
      <c r="CT81" s="370"/>
    </row>
    <row r="82" spans="1:98" ht="18" x14ac:dyDescent="0.3">
      <c r="A82" s="65"/>
      <c r="B82" s="75" t="s">
        <v>333</v>
      </c>
      <c r="C82" s="100" t="s">
        <v>347</v>
      </c>
      <c r="D82" s="77"/>
      <c r="E82" s="77"/>
      <c r="F82" s="77"/>
      <c r="G82" s="77"/>
      <c r="H82" s="65"/>
      <c r="J82" s="65"/>
      <c r="K82" s="75" t="s">
        <v>333</v>
      </c>
      <c r="L82" s="100" t="s">
        <v>347</v>
      </c>
      <c r="M82" s="77"/>
      <c r="N82" s="77"/>
      <c r="O82" s="77"/>
      <c r="P82" s="77"/>
      <c r="Q82" s="65"/>
      <c r="S82" s="65"/>
      <c r="T82" s="75" t="s">
        <v>333</v>
      </c>
      <c r="U82" s="100" t="s">
        <v>347</v>
      </c>
      <c r="V82" s="77"/>
      <c r="W82" s="77"/>
      <c r="X82" s="77"/>
      <c r="Y82" s="77"/>
      <c r="Z82" s="65"/>
      <c r="AB82" s="65"/>
      <c r="AC82" s="75" t="s">
        <v>333</v>
      </c>
      <c r="AD82" s="100" t="s">
        <v>347</v>
      </c>
      <c r="AE82" s="77"/>
      <c r="AF82" s="77"/>
      <c r="AG82" s="77"/>
      <c r="AH82" s="77"/>
      <c r="AI82" s="65"/>
      <c r="AK82" s="65"/>
      <c r="AL82" s="75" t="s">
        <v>333</v>
      </c>
      <c r="AM82" s="100" t="s">
        <v>347</v>
      </c>
      <c r="AN82" s="77"/>
      <c r="AO82" s="77"/>
      <c r="AP82" s="77"/>
      <c r="AQ82" s="77"/>
      <c r="AR82" s="65"/>
      <c r="AT82" s="65"/>
      <c r="AU82" s="75" t="s">
        <v>333</v>
      </c>
      <c r="AV82" s="100" t="s">
        <v>347</v>
      </c>
      <c r="AW82" s="77"/>
      <c r="AX82" s="77"/>
      <c r="AY82" s="77"/>
      <c r="AZ82" s="77"/>
      <c r="BA82" s="65"/>
      <c r="BC82" s="65"/>
      <c r="BD82" s="75" t="s">
        <v>333</v>
      </c>
      <c r="BE82" s="100" t="s">
        <v>347</v>
      </c>
      <c r="BF82" s="77"/>
      <c r="BG82" s="77"/>
      <c r="BH82" s="77"/>
      <c r="BI82" s="77"/>
      <c r="BJ82" s="65"/>
      <c r="BL82" s="65"/>
      <c r="BM82" s="75" t="s">
        <v>333</v>
      </c>
      <c r="BN82" s="100" t="s">
        <v>347</v>
      </c>
      <c r="BO82" s="77"/>
      <c r="BP82" s="77"/>
      <c r="BQ82" s="77"/>
      <c r="BR82" s="77"/>
      <c r="BS82" s="65"/>
      <c r="BU82" s="65"/>
      <c r="BV82" s="75" t="s">
        <v>333</v>
      </c>
      <c r="BW82" s="100" t="s">
        <v>347</v>
      </c>
      <c r="BX82" s="77"/>
      <c r="BY82" s="77"/>
      <c r="BZ82" s="77"/>
      <c r="CA82" s="77"/>
      <c r="CB82" s="65"/>
      <c r="CD82" s="65"/>
      <c r="CE82" s="75" t="s">
        <v>333</v>
      </c>
      <c r="CF82" s="100" t="s">
        <v>347</v>
      </c>
      <c r="CG82" s="77"/>
      <c r="CH82" s="77"/>
      <c r="CI82" s="77"/>
      <c r="CJ82" s="77"/>
      <c r="CK82" s="65"/>
      <c r="CM82" s="370"/>
      <c r="CN82" s="377" t="s">
        <v>333</v>
      </c>
      <c r="CO82" s="389" t="s">
        <v>347</v>
      </c>
      <c r="CP82" s="379">
        <f>IF($CS$3="yes",(SUM(CP83,CP84,CP91)/1),(SUM(CP83:CP89)/1))</f>
        <v>3.2756031019999998</v>
      </c>
      <c r="CQ82" s="379">
        <f>IF($CS$3="yes",(SUM(CQ83,CQ84,CQ91)/1),(SUM(CQ83:CQ89)/1))</f>
        <v>0.27686134000000001</v>
      </c>
      <c r="CR82" s="379">
        <f>IF($CS$3="yes",(SUM(CR83,CR84,CR91)/1),(SUM(CR83:CR89)/1))</f>
        <v>0</v>
      </c>
      <c r="CS82" s="379">
        <f>IF($CS$3="yes",(SUM(CS83,CS84,CS91)/1),(SUM(CS83:CS89)/1))</f>
        <v>3.5524644420000002</v>
      </c>
      <c r="CT82" s="370"/>
    </row>
    <row r="83" spans="1:98" ht="18" x14ac:dyDescent="0.35">
      <c r="A83" s="65"/>
      <c r="B83" s="90"/>
      <c r="C83" s="80" t="s">
        <v>13</v>
      </c>
      <c r="D83" s="81">
        <v>0.42975984</v>
      </c>
      <c r="E83" s="81"/>
      <c r="F83" s="81"/>
      <c r="G83" s="81">
        <f>D83+E83+F83</f>
        <v>0.42975984</v>
      </c>
      <c r="H83" s="65"/>
      <c r="J83" s="65"/>
      <c r="K83" s="90"/>
      <c r="L83" s="80" t="s">
        <v>13</v>
      </c>
      <c r="M83" s="81">
        <v>1.2710142</v>
      </c>
      <c r="N83" s="81">
        <v>0.42367141000000003</v>
      </c>
      <c r="O83" s="81"/>
      <c r="P83" s="81">
        <f>M83+N83+O83</f>
        <v>1.6946856100000001</v>
      </c>
      <c r="Q83" s="65"/>
      <c r="S83" s="65"/>
      <c r="T83" s="90"/>
      <c r="U83" s="80" t="s">
        <v>13</v>
      </c>
      <c r="V83" s="81">
        <v>5.1293940000000003E-5</v>
      </c>
      <c r="W83" s="81"/>
      <c r="X83" s="81"/>
      <c r="Y83" s="81">
        <f>V83+W83+X83</f>
        <v>5.1293940000000003E-5</v>
      </c>
      <c r="Z83" s="65"/>
      <c r="AB83" s="65"/>
      <c r="AC83" s="90"/>
      <c r="AD83" s="80" t="s">
        <v>13</v>
      </c>
      <c r="AE83" s="81">
        <v>3.419596E-5</v>
      </c>
      <c r="AF83" s="81">
        <v>5.8700490000000001E-2</v>
      </c>
      <c r="AG83" s="81"/>
      <c r="AH83" s="81">
        <f>AE83+AF83+AG83</f>
        <v>5.8734685959999998E-2</v>
      </c>
      <c r="AI83" s="65"/>
      <c r="AK83" s="65"/>
      <c r="AL83" s="90"/>
      <c r="AM83" s="80" t="s">
        <v>13</v>
      </c>
      <c r="AN83" s="81">
        <v>12.912136</v>
      </c>
      <c r="AO83" s="81">
        <v>0.84734282000000005</v>
      </c>
      <c r="AP83" s="81"/>
      <c r="AQ83" s="81">
        <f>AN83+AO83+AP83</f>
        <v>13.75947882</v>
      </c>
      <c r="AR83" s="65"/>
      <c r="AT83" s="65"/>
      <c r="AU83" s="90"/>
      <c r="AV83" s="80" t="s">
        <v>13</v>
      </c>
      <c r="AW83" s="81">
        <v>2.5420284999999998</v>
      </c>
      <c r="AX83" s="81"/>
      <c r="AY83" s="81"/>
      <c r="AZ83" s="81">
        <f>AW83+AX83+AY83</f>
        <v>2.5420284999999998</v>
      </c>
      <c r="BA83" s="65"/>
      <c r="BC83" s="65"/>
      <c r="BD83" s="90"/>
      <c r="BE83" s="80" t="s">
        <v>13</v>
      </c>
      <c r="BF83" s="81">
        <v>0.35220294000000002</v>
      </c>
      <c r="BG83" s="81">
        <v>0.27686134000000001</v>
      </c>
      <c r="BH83" s="81"/>
      <c r="BI83" s="81">
        <f>BF83+BG83+BH83</f>
        <v>0.62906428000000003</v>
      </c>
      <c r="BJ83" s="65"/>
      <c r="BL83" s="65"/>
      <c r="BM83" s="90"/>
      <c r="BN83" s="80" t="s">
        <v>13</v>
      </c>
      <c r="BO83" s="81">
        <v>0.11740098</v>
      </c>
      <c r="BP83" s="81"/>
      <c r="BQ83" s="81"/>
      <c r="BR83" s="81">
        <f>BO83+BP83+BQ83</f>
        <v>0.11740098</v>
      </c>
      <c r="BS83" s="65"/>
      <c r="BU83" s="65"/>
      <c r="BV83" s="90"/>
      <c r="BW83" s="80" t="s">
        <v>13</v>
      </c>
      <c r="BX83" s="81">
        <v>1.6946855999999999</v>
      </c>
      <c r="BY83" s="81">
        <f>BG83</f>
        <v>0.27686134000000001</v>
      </c>
      <c r="BZ83" s="81"/>
      <c r="CA83" s="81">
        <f>BX83+BY83+BZ83</f>
        <v>1.9715469399999999</v>
      </c>
      <c r="CB83" s="65"/>
      <c r="CD83" s="65"/>
      <c r="CE83" s="90"/>
      <c r="CF83" s="80" t="s">
        <v>13</v>
      </c>
      <c r="CG83" s="81">
        <v>0.35198072000000002</v>
      </c>
      <c r="CH83" s="81">
        <v>0.23071778000000001</v>
      </c>
      <c r="CI83" s="81"/>
      <c r="CJ83" s="81">
        <f>CG83+CH83+CI83</f>
        <v>0.58269850000000001</v>
      </c>
      <c r="CK83" s="65"/>
      <c r="CM83" s="370"/>
      <c r="CN83" s="386"/>
      <c r="CO83" s="381" t="s">
        <v>13</v>
      </c>
      <c r="CP83" s="382">
        <f>HLOOKUP($CP$2,D$3:CK$106,81,FALSE)</f>
        <v>1.6946855999999999</v>
      </c>
      <c r="CQ83" s="382">
        <f>HLOOKUP($CQ$2,D$3:CK$106,81,FALSE)</f>
        <v>0.27686134000000001</v>
      </c>
      <c r="CR83" s="382">
        <f>HLOOKUP($CR$2,D$3:CK$106,81,FALSE)</f>
        <v>0</v>
      </c>
      <c r="CS83" s="382">
        <f>HLOOKUP($CS$2,D$3:CK$106,81,FALSE)</f>
        <v>1.9715469399999999</v>
      </c>
      <c r="CT83" s="370"/>
    </row>
    <row r="84" spans="1:98" ht="18" x14ac:dyDescent="0.35">
      <c r="A84" s="65"/>
      <c r="B84" s="90"/>
      <c r="C84" s="80" t="s">
        <v>306</v>
      </c>
      <c r="D84" s="81">
        <v>0.12738858</v>
      </c>
      <c r="E84" s="81"/>
      <c r="F84" s="81"/>
      <c r="G84" s="81">
        <f t="shared" ref="G84:G91" si="166">D84+E84+F84</f>
        <v>0.12738858</v>
      </c>
      <c r="H84" s="65"/>
      <c r="J84" s="65"/>
      <c r="K84" s="90"/>
      <c r="L84" s="80" t="s">
        <v>306</v>
      </c>
      <c r="M84" s="81">
        <v>5.0294555999999997E-2</v>
      </c>
      <c r="N84" s="81">
        <v>1.6646790000000002E-2</v>
      </c>
      <c r="O84" s="81"/>
      <c r="P84" s="81">
        <f t="shared" ref="P84:P91" si="167">M84+N84+O84</f>
        <v>6.6941345999999999E-2</v>
      </c>
      <c r="Q84" s="65"/>
      <c r="S84" s="65"/>
      <c r="T84" s="90"/>
      <c r="U84" s="80" t="s">
        <v>306</v>
      </c>
      <c r="V84" s="81">
        <v>0.11050635</v>
      </c>
      <c r="W84" s="81"/>
      <c r="X84" s="81"/>
      <c r="Y84" s="81">
        <f t="shared" ref="Y84" si="168">V84+W84+X84</f>
        <v>0.11050635</v>
      </c>
      <c r="Z84" s="65"/>
      <c r="AB84" s="65"/>
      <c r="AC84" s="90"/>
      <c r="AD84" s="80" t="s">
        <v>306</v>
      </c>
      <c r="AE84" s="81">
        <v>7.4379271999999996E-2</v>
      </c>
      <c r="AF84" s="81">
        <v>1.6646788999999999E-2</v>
      </c>
      <c r="AG84" s="81"/>
      <c r="AH84" s="81">
        <f t="shared" ref="AH84" si="169">AE84+AF84+AG84</f>
        <v>9.1026060999999991E-2</v>
      </c>
      <c r="AI84" s="65"/>
      <c r="AK84" s="65"/>
      <c r="AL84" s="90"/>
      <c r="AM84" s="80" t="s">
        <v>306</v>
      </c>
      <c r="AN84" s="81">
        <v>2.7799010000000002</v>
      </c>
      <c r="AO84" s="81">
        <v>3.5418700999999997E-2</v>
      </c>
      <c r="AP84" s="81"/>
      <c r="AQ84" s="81">
        <f t="shared" ref="AQ84" si="170">AN84+AO84+AP84</f>
        <v>2.815319701</v>
      </c>
      <c r="AR84" s="65"/>
      <c r="AT84" s="65"/>
      <c r="AU84" s="90"/>
      <c r="AV84" s="80" t="s">
        <v>306</v>
      </c>
      <c r="AW84" s="81">
        <v>0.10625610000000001</v>
      </c>
      <c r="AX84" s="81"/>
      <c r="AY84" s="81"/>
      <c r="AZ84" s="81">
        <f t="shared" ref="AZ84" si="171">AW84+AX84+AY84</f>
        <v>0.10625610000000001</v>
      </c>
      <c r="BA84" s="65"/>
      <c r="BC84" s="65"/>
      <c r="BD84" s="90"/>
      <c r="BE84" s="80" t="s">
        <v>306</v>
      </c>
      <c r="BF84" s="81">
        <v>0.11156890999999999</v>
      </c>
      <c r="BG84" s="81"/>
      <c r="BH84" s="81"/>
      <c r="BI84" s="81">
        <f t="shared" ref="BI84" si="172">BF84+BG84+BH84</f>
        <v>0.11156890999999999</v>
      </c>
      <c r="BJ84" s="65"/>
      <c r="BL84" s="65"/>
      <c r="BM84" s="90"/>
      <c r="BN84" s="80" t="s">
        <v>306</v>
      </c>
      <c r="BO84" s="81">
        <v>3.5418700999999997E-2</v>
      </c>
      <c r="BP84" s="81"/>
      <c r="BQ84" s="81"/>
      <c r="BR84" s="81">
        <f t="shared" ref="BR84" si="173">BO84+BP84+BQ84</f>
        <v>3.5418700999999997E-2</v>
      </c>
      <c r="BS84" s="65"/>
      <c r="BU84" s="65"/>
      <c r="BV84" s="90"/>
      <c r="BW84" s="80" t="s">
        <v>306</v>
      </c>
      <c r="BX84" s="81">
        <v>7.0837401999999994E-2</v>
      </c>
      <c r="BY84" s="81"/>
      <c r="BZ84" s="81"/>
      <c r="CA84" s="81">
        <f t="shared" ref="CA84" si="174">BX84+BY84+BZ84</f>
        <v>7.0837401999999994E-2</v>
      </c>
      <c r="CB84" s="65"/>
      <c r="CD84" s="65"/>
      <c r="CE84" s="90"/>
      <c r="CF84" s="80" t="s">
        <v>306</v>
      </c>
      <c r="CG84" s="81">
        <v>0.10590135000000001</v>
      </c>
      <c r="CH84" s="81"/>
      <c r="CI84" s="81"/>
      <c r="CJ84" s="81">
        <f t="shared" ref="CJ84" si="175">CG84+CH84+CI84</f>
        <v>0.10590135000000001</v>
      </c>
      <c r="CK84" s="65"/>
      <c r="CM84" s="370"/>
      <c r="CN84" s="386"/>
      <c r="CO84" s="381" t="s">
        <v>306</v>
      </c>
      <c r="CP84" s="382">
        <f>HLOOKUP($CP$2,D$3:CK$106,82,FALSE)</f>
        <v>7.0837401999999994E-2</v>
      </c>
      <c r="CQ84" s="382">
        <f>HLOOKUP($CQ$2,D$3:CK$106,82,FALSE)</f>
        <v>0</v>
      </c>
      <c r="CR84" s="382">
        <f>HLOOKUP($CR$2,D$3:CK$106,82,FALSE)</f>
        <v>0</v>
      </c>
      <c r="CS84" s="382">
        <f>HLOOKUP($CS$2,D$3:CK$106,82,FALSE)</f>
        <v>7.0837401999999994E-2</v>
      </c>
      <c r="CT84" s="370"/>
    </row>
    <row r="85" spans="1:98" ht="18" x14ac:dyDescent="0.35">
      <c r="A85" s="65"/>
      <c r="B85" s="90"/>
      <c r="C85" s="80" t="s">
        <v>312</v>
      </c>
      <c r="D85" s="81" t="s">
        <v>19</v>
      </c>
      <c r="E85" s="81" t="s">
        <v>19</v>
      </c>
      <c r="F85" s="81" t="s">
        <v>19</v>
      </c>
      <c r="G85" s="81" t="s">
        <v>19</v>
      </c>
      <c r="H85" s="65"/>
      <c r="J85" s="65"/>
      <c r="K85" s="90"/>
      <c r="L85" s="80" t="s">
        <v>312</v>
      </c>
      <c r="M85" s="81" t="s">
        <v>19</v>
      </c>
      <c r="N85" s="81" t="s">
        <v>19</v>
      </c>
      <c r="O85" s="81" t="s">
        <v>19</v>
      </c>
      <c r="P85" s="81" t="s">
        <v>19</v>
      </c>
      <c r="Q85" s="65"/>
      <c r="S85" s="65"/>
      <c r="T85" s="90"/>
      <c r="U85" s="80" t="s">
        <v>312</v>
      </c>
      <c r="V85" s="81" t="s">
        <v>19</v>
      </c>
      <c r="W85" s="81" t="s">
        <v>19</v>
      </c>
      <c r="X85" s="81" t="s">
        <v>19</v>
      </c>
      <c r="Y85" s="81" t="s">
        <v>19</v>
      </c>
      <c r="Z85" s="65"/>
      <c r="AB85" s="65"/>
      <c r="AC85" s="90"/>
      <c r="AD85" s="80" t="s">
        <v>312</v>
      </c>
      <c r="AE85" s="81" t="s">
        <v>19</v>
      </c>
      <c r="AF85" s="81" t="s">
        <v>19</v>
      </c>
      <c r="AG85" s="81" t="s">
        <v>19</v>
      </c>
      <c r="AH85" s="81" t="s">
        <v>19</v>
      </c>
      <c r="AI85" s="65"/>
      <c r="AK85" s="65"/>
      <c r="AL85" s="90"/>
      <c r="AM85" s="80" t="s">
        <v>312</v>
      </c>
      <c r="AN85" s="81" t="s">
        <v>19</v>
      </c>
      <c r="AO85" s="81" t="s">
        <v>19</v>
      </c>
      <c r="AP85" s="81" t="s">
        <v>19</v>
      </c>
      <c r="AQ85" s="81" t="s">
        <v>19</v>
      </c>
      <c r="AR85" s="65"/>
      <c r="AT85" s="65"/>
      <c r="AU85" s="90"/>
      <c r="AV85" s="80" t="s">
        <v>312</v>
      </c>
      <c r="AW85" s="81" t="s">
        <v>19</v>
      </c>
      <c r="AX85" s="81" t="s">
        <v>19</v>
      </c>
      <c r="AY85" s="81" t="s">
        <v>19</v>
      </c>
      <c r="AZ85" s="81" t="s">
        <v>19</v>
      </c>
      <c r="BA85" s="65"/>
      <c r="BC85" s="65"/>
      <c r="BD85" s="90"/>
      <c r="BE85" s="80" t="s">
        <v>312</v>
      </c>
      <c r="BF85" s="81" t="s">
        <v>19</v>
      </c>
      <c r="BG85" s="81" t="s">
        <v>19</v>
      </c>
      <c r="BH85" s="81" t="s">
        <v>19</v>
      </c>
      <c r="BI85" s="81" t="s">
        <v>19</v>
      </c>
      <c r="BJ85" s="65"/>
      <c r="BL85" s="65"/>
      <c r="BM85" s="90"/>
      <c r="BN85" s="80" t="s">
        <v>312</v>
      </c>
      <c r="BO85" s="81" t="s">
        <v>19</v>
      </c>
      <c r="BP85" s="81" t="s">
        <v>19</v>
      </c>
      <c r="BQ85" s="81" t="s">
        <v>19</v>
      </c>
      <c r="BR85" s="81" t="s">
        <v>19</v>
      </c>
      <c r="BS85" s="65"/>
      <c r="BU85" s="65"/>
      <c r="BV85" s="90"/>
      <c r="BW85" s="80" t="s">
        <v>312</v>
      </c>
      <c r="BX85" s="81" t="s">
        <v>19</v>
      </c>
      <c r="BY85" s="81" t="s">
        <v>19</v>
      </c>
      <c r="BZ85" s="81" t="s">
        <v>19</v>
      </c>
      <c r="CA85" s="81" t="s">
        <v>19</v>
      </c>
      <c r="CB85" s="65"/>
      <c r="CD85" s="65"/>
      <c r="CE85" s="90"/>
      <c r="CF85" s="80" t="s">
        <v>312</v>
      </c>
      <c r="CG85" s="81" t="s">
        <v>19</v>
      </c>
      <c r="CH85" s="81" t="s">
        <v>19</v>
      </c>
      <c r="CI85" s="81" t="s">
        <v>19</v>
      </c>
      <c r="CJ85" s="81" t="s">
        <v>19</v>
      </c>
      <c r="CK85" s="65"/>
      <c r="CM85" s="370"/>
      <c r="CN85" s="386"/>
      <c r="CO85" s="381" t="s">
        <v>312</v>
      </c>
      <c r="CP85" s="382" t="str">
        <f>HLOOKUP($CP$2,D$3:CK$106,83,FALSE)</f>
        <v>x</v>
      </c>
      <c r="CQ85" s="382" t="str">
        <f>HLOOKUP($CQ$2,D$3:CK$106,83,FALSE)</f>
        <v>x</v>
      </c>
      <c r="CR85" s="382" t="str">
        <f>HLOOKUP($CR$2,D$3:CK$106,83,FALSE)</f>
        <v>x</v>
      </c>
      <c r="CS85" s="382" t="str">
        <f>HLOOKUP($CS$2,D$3:CK$106,83,FALSE)</f>
        <v>x</v>
      </c>
      <c r="CT85" s="370"/>
    </row>
    <row r="86" spans="1:98" ht="18" x14ac:dyDescent="0.35">
      <c r="A86" s="65"/>
      <c r="B86" s="90"/>
      <c r="C86" s="80" t="s">
        <v>314</v>
      </c>
      <c r="D86" s="81" t="s">
        <v>19</v>
      </c>
      <c r="E86" s="81" t="s">
        <v>19</v>
      </c>
      <c r="F86" s="81" t="s">
        <v>19</v>
      </c>
      <c r="G86" s="81" t="s">
        <v>19</v>
      </c>
      <c r="H86" s="65"/>
      <c r="J86" s="65"/>
      <c r="K86" s="90"/>
      <c r="L86" s="80" t="s">
        <v>314</v>
      </c>
      <c r="M86" s="81" t="s">
        <v>19</v>
      </c>
      <c r="N86" s="81" t="s">
        <v>19</v>
      </c>
      <c r="O86" s="81" t="s">
        <v>19</v>
      </c>
      <c r="P86" s="81" t="s">
        <v>19</v>
      </c>
      <c r="Q86" s="65"/>
      <c r="S86" s="65"/>
      <c r="T86" s="90"/>
      <c r="U86" s="80" t="s">
        <v>314</v>
      </c>
      <c r="V86" s="81" t="s">
        <v>19</v>
      </c>
      <c r="W86" s="81" t="s">
        <v>19</v>
      </c>
      <c r="X86" s="81" t="s">
        <v>19</v>
      </c>
      <c r="Y86" s="81" t="s">
        <v>19</v>
      </c>
      <c r="Z86" s="65"/>
      <c r="AB86" s="65"/>
      <c r="AC86" s="90"/>
      <c r="AD86" s="80" t="s">
        <v>314</v>
      </c>
      <c r="AE86" s="81" t="s">
        <v>19</v>
      </c>
      <c r="AF86" s="81" t="s">
        <v>19</v>
      </c>
      <c r="AG86" s="81" t="s">
        <v>19</v>
      </c>
      <c r="AH86" s="81" t="s">
        <v>19</v>
      </c>
      <c r="AI86" s="65"/>
      <c r="AK86" s="65"/>
      <c r="AL86" s="90"/>
      <c r="AM86" s="80" t="s">
        <v>314</v>
      </c>
      <c r="AN86" s="81" t="s">
        <v>19</v>
      </c>
      <c r="AO86" s="81" t="s">
        <v>19</v>
      </c>
      <c r="AP86" s="81" t="s">
        <v>19</v>
      </c>
      <c r="AQ86" s="81" t="s">
        <v>19</v>
      </c>
      <c r="AR86" s="65"/>
      <c r="AT86" s="65"/>
      <c r="AU86" s="90"/>
      <c r="AV86" s="80" t="s">
        <v>314</v>
      </c>
      <c r="AW86" s="81" t="s">
        <v>19</v>
      </c>
      <c r="AX86" s="81" t="s">
        <v>19</v>
      </c>
      <c r="AY86" s="81" t="s">
        <v>19</v>
      </c>
      <c r="AZ86" s="81" t="s">
        <v>19</v>
      </c>
      <c r="BA86" s="65"/>
      <c r="BC86" s="65"/>
      <c r="BD86" s="90"/>
      <c r="BE86" s="80" t="s">
        <v>314</v>
      </c>
      <c r="BF86" s="81" t="s">
        <v>19</v>
      </c>
      <c r="BG86" s="81" t="s">
        <v>19</v>
      </c>
      <c r="BH86" s="81" t="s">
        <v>19</v>
      </c>
      <c r="BI86" s="81" t="s">
        <v>19</v>
      </c>
      <c r="BJ86" s="65"/>
      <c r="BL86" s="65"/>
      <c r="BM86" s="90"/>
      <c r="BN86" s="80" t="s">
        <v>314</v>
      </c>
      <c r="BO86" s="81" t="s">
        <v>19</v>
      </c>
      <c r="BP86" s="81" t="s">
        <v>19</v>
      </c>
      <c r="BQ86" s="81" t="s">
        <v>19</v>
      </c>
      <c r="BR86" s="81" t="s">
        <v>19</v>
      </c>
      <c r="BS86" s="65"/>
      <c r="BU86" s="65"/>
      <c r="BV86" s="90"/>
      <c r="BW86" s="80" t="s">
        <v>314</v>
      </c>
      <c r="BX86" s="81" t="s">
        <v>19</v>
      </c>
      <c r="BY86" s="81" t="s">
        <v>19</v>
      </c>
      <c r="BZ86" s="81" t="s">
        <v>19</v>
      </c>
      <c r="CA86" s="81" t="s">
        <v>19</v>
      </c>
      <c r="CB86" s="65"/>
      <c r="CD86" s="65"/>
      <c r="CE86" s="90"/>
      <c r="CF86" s="80" t="s">
        <v>314</v>
      </c>
      <c r="CG86" s="81" t="s">
        <v>19</v>
      </c>
      <c r="CH86" s="81" t="s">
        <v>19</v>
      </c>
      <c r="CI86" s="81" t="s">
        <v>19</v>
      </c>
      <c r="CJ86" s="81" t="s">
        <v>19</v>
      </c>
      <c r="CK86" s="65"/>
      <c r="CM86" s="370"/>
      <c r="CN86" s="386"/>
      <c r="CO86" s="381" t="s">
        <v>314</v>
      </c>
      <c r="CP86" s="382" t="str">
        <f>HLOOKUP($CP$2,D$3:CK$106,84,FALSE)</f>
        <v>x</v>
      </c>
      <c r="CQ86" s="382" t="str">
        <f>HLOOKUP($CQ$2,D$3:CK$106,84,FALSE)</f>
        <v>x</v>
      </c>
      <c r="CR86" s="382" t="str">
        <f>HLOOKUP($CR$2,D$3:CK$106,84,FALSE)</f>
        <v>x</v>
      </c>
      <c r="CS86" s="382" t="str">
        <f>HLOOKUP($CS$2,D$3:CK$106,84,FALSE)</f>
        <v>x</v>
      </c>
      <c r="CT86" s="370"/>
    </row>
    <row r="87" spans="1:98" ht="18" x14ac:dyDescent="0.35">
      <c r="A87" s="65"/>
      <c r="B87" s="90"/>
      <c r="C87" s="80" t="s">
        <v>320</v>
      </c>
      <c r="D87" s="358" t="e">
        <f>HLOOKUP($B$1,DGbaseF2V!$A$76:$S$92,16,0)*$B$2</f>
        <v>#N/A</v>
      </c>
      <c r="E87" s="81"/>
      <c r="F87" s="81"/>
      <c r="G87" s="81" t="e">
        <f t="shared" si="166"/>
        <v>#N/A</v>
      </c>
      <c r="H87" s="65"/>
      <c r="J87" s="65"/>
      <c r="K87" s="90"/>
      <c r="L87" s="80" t="s">
        <v>320</v>
      </c>
      <c r="M87" s="358" t="e">
        <f>HLOOKUP(K$1,DGbaseF2V!$A$76:$S$92,16,0)*K$2</f>
        <v>#N/A</v>
      </c>
      <c r="N87" s="81"/>
      <c r="O87" s="81"/>
      <c r="P87" s="81" t="e">
        <f t="shared" si="167"/>
        <v>#N/A</v>
      </c>
      <c r="Q87" s="65"/>
      <c r="S87" s="65"/>
      <c r="T87" s="90"/>
      <c r="U87" s="80" t="s">
        <v>320</v>
      </c>
      <c r="V87" s="358" t="e">
        <f>HLOOKUP(T$1,DGbaseF2V!$A$76:$S$92,16,0)*T$2</f>
        <v>#N/A</v>
      </c>
      <c r="W87" s="81"/>
      <c r="X87" s="81"/>
      <c r="Y87" s="81" t="e">
        <f t="shared" ref="Y87:Y89" si="176">V87+W87+X87</f>
        <v>#N/A</v>
      </c>
      <c r="Z87" s="65"/>
      <c r="AB87" s="65"/>
      <c r="AC87" s="90"/>
      <c r="AD87" s="80" t="s">
        <v>320</v>
      </c>
      <c r="AE87" s="358" t="e">
        <f>HLOOKUP(AC$1,DGbaseF2V!$A$76:$S$92,16,0)*AC$2</f>
        <v>#N/A</v>
      </c>
      <c r="AF87" s="81"/>
      <c r="AG87" s="81"/>
      <c r="AH87" s="81" t="e">
        <f t="shared" ref="AH87:AH89" si="177">AE87+AF87+AG87</f>
        <v>#N/A</v>
      </c>
      <c r="AI87" s="65"/>
      <c r="AK87" s="65"/>
      <c r="AL87" s="90"/>
      <c r="AM87" s="80" t="s">
        <v>320</v>
      </c>
      <c r="AN87" s="358" t="e">
        <f>HLOOKUP(AL$1,DGbaseF2V!$A$76:$S$92,16,0)*AL$2</f>
        <v>#N/A</v>
      </c>
      <c r="AO87" s="81"/>
      <c r="AP87" s="81"/>
      <c r="AQ87" s="81" t="e">
        <f t="shared" ref="AQ87:AQ89" si="178">AN87+AO87+AP87</f>
        <v>#N/A</v>
      </c>
      <c r="AR87" s="65"/>
      <c r="AT87" s="65"/>
      <c r="AU87" s="90"/>
      <c r="AV87" s="80" t="s">
        <v>320</v>
      </c>
      <c r="AW87" s="358" t="e">
        <f>HLOOKUP(AU$1,DGbaseF2V!$A$76:$S$92,16,0)*AU$2</f>
        <v>#N/A</v>
      </c>
      <c r="AX87" s="81"/>
      <c r="AY87" s="81"/>
      <c r="AZ87" s="81" t="e">
        <f t="shared" ref="AZ87:AZ89" si="179">AW87+AX87+AY87</f>
        <v>#N/A</v>
      </c>
      <c r="BA87" s="65"/>
      <c r="BC87" s="65"/>
      <c r="BD87" s="90"/>
      <c r="BE87" s="80" t="s">
        <v>320</v>
      </c>
      <c r="BF87" s="358" t="e">
        <f>HLOOKUP(BD$1,DGbaseF2V!$A$76:$S$92,16,0)*BD$2</f>
        <v>#N/A</v>
      </c>
      <c r="BG87" s="81"/>
      <c r="BH87" s="81"/>
      <c r="BI87" s="81" t="e">
        <f t="shared" ref="BI87:BI89" si="180">BF87+BG87+BH87</f>
        <v>#N/A</v>
      </c>
      <c r="BJ87" s="65"/>
      <c r="BL87" s="65"/>
      <c r="BM87" s="90"/>
      <c r="BN87" s="80" t="s">
        <v>320</v>
      </c>
      <c r="BO87" s="358" t="e">
        <f>HLOOKUP(BM$1,DGbaseF2V!$A$76:$S$92,16,0)*BM$2</f>
        <v>#N/A</v>
      </c>
      <c r="BP87" s="81"/>
      <c r="BQ87" s="81"/>
      <c r="BR87" s="81" t="e">
        <f t="shared" ref="BR87:BR89" si="181">BO87+BP87+BQ87</f>
        <v>#N/A</v>
      </c>
      <c r="BS87" s="65"/>
      <c r="BU87" s="65"/>
      <c r="BV87" s="90"/>
      <c r="BW87" s="80" t="s">
        <v>320</v>
      </c>
      <c r="BX87" s="358" t="e">
        <f>HLOOKUP(BV$1,DGbaseF2V!$A$76:$S$92,16,0)*BV$2</f>
        <v>#N/A</v>
      </c>
      <c r="BY87" s="81"/>
      <c r="BZ87" s="81"/>
      <c r="CA87" s="81" t="e">
        <f t="shared" ref="CA87:CA89" si="182">BX87+BY87+BZ87</f>
        <v>#N/A</v>
      </c>
      <c r="CB87" s="65"/>
      <c r="CD87" s="65"/>
      <c r="CE87" s="90"/>
      <c r="CF87" s="80" t="s">
        <v>320</v>
      </c>
      <c r="CG87" s="358" t="e">
        <f>HLOOKUP(CE$1,DGbaseF2V!$A$76:$S$92,16,0)*CE$2</f>
        <v>#N/A</v>
      </c>
      <c r="CH87" s="81"/>
      <c r="CI87" s="81"/>
      <c r="CJ87" s="81" t="e">
        <f t="shared" ref="CJ87:CJ89" si="183">CG87+CH87+CI87</f>
        <v>#N/A</v>
      </c>
      <c r="CK87" s="65"/>
      <c r="CM87" s="370"/>
      <c r="CN87" s="386"/>
      <c r="CO87" s="381" t="s">
        <v>320</v>
      </c>
      <c r="CP87" s="382" t="e">
        <f>HLOOKUP($CP$2,D$3:CK$106,85,FALSE)</f>
        <v>#N/A</v>
      </c>
      <c r="CQ87" s="382">
        <f>HLOOKUP($CQ$2,D$3:CK$106,85,FALSE)</f>
        <v>0</v>
      </c>
      <c r="CR87" s="382">
        <f>HLOOKUP($CR$2,D$3:CK$106,85,FALSE)</f>
        <v>0</v>
      </c>
      <c r="CS87" s="382" t="e">
        <f>HLOOKUP($CS$2,D$3:CK$106,85,FALSE)</f>
        <v>#N/A</v>
      </c>
      <c r="CT87" s="370"/>
    </row>
    <row r="88" spans="1:98" ht="18" x14ac:dyDescent="0.35">
      <c r="A88" s="65"/>
      <c r="B88" s="90"/>
      <c r="C88" s="80" t="s">
        <v>337</v>
      </c>
      <c r="D88" s="358">
        <f>HLOOKUP($B$1,DGbaseF2V!$A$58:$S$74,16,0)*$B$2</f>
        <v>-2.2347033999999998E-2</v>
      </c>
      <c r="E88" s="81"/>
      <c r="F88" s="81"/>
      <c r="G88" s="81">
        <f t="shared" si="166"/>
        <v>-2.2347033999999998E-2</v>
      </c>
      <c r="H88" s="65"/>
      <c r="J88" s="65"/>
      <c r="K88" s="90"/>
      <c r="L88" s="80" t="s">
        <v>337</v>
      </c>
      <c r="M88" s="358">
        <f>HLOOKUP(K$1,DGbaseF2V!$A$58:$S$74,16,0)*K$2</f>
        <v>-2.2347033999999998E-2</v>
      </c>
      <c r="N88" s="81"/>
      <c r="O88" s="81"/>
      <c r="P88" s="81">
        <f t="shared" si="167"/>
        <v>-2.2347033999999998E-2</v>
      </c>
      <c r="Q88" s="65"/>
      <c r="S88" s="65"/>
      <c r="T88" s="90"/>
      <c r="U88" s="80" t="s">
        <v>337</v>
      </c>
      <c r="V88" s="358">
        <f>HLOOKUP(T$1,DGbaseF2V!$A$58:$S$74,16,0)*T$2</f>
        <v>-3.6872609950000003E-2</v>
      </c>
      <c r="W88" s="81"/>
      <c r="X88" s="81"/>
      <c r="Y88" s="81">
        <f t="shared" si="176"/>
        <v>-3.6872609950000003E-2</v>
      </c>
      <c r="Z88" s="65"/>
      <c r="AB88" s="65"/>
      <c r="AC88" s="90"/>
      <c r="AD88" s="80" t="s">
        <v>337</v>
      </c>
      <c r="AE88" s="358">
        <f>HLOOKUP(AC$1,DGbaseF2V!$A$58:$S$74,16,0)*AC$2</f>
        <v>-3.0168499050000002E-2</v>
      </c>
      <c r="AF88" s="81"/>
      <c r="AG88" s="81"/>
      <c r="AH88" s="81">
        <f t="shared" si="177"/>
        <v>-3.0168499050000002E-2</v>
      </c>
      <c r="AI88" s="65"/>
      <c r="AK88" s="65"/>
      <c r="AL88" s="90"/>
      <c r="AM88" s="80" t="s">
        <v>337</v>
      </c>
      <c r="AN88" s="358">
        <f>HLOOKUP(AL$1,DGbaseF2V!$A$58:$S$74,16,0)*AL$2</f>
        <v>-0.18994978900000001</v>
      </c>
      <c r="AO88" s="81"/>
      <c r="AP88" s="81"/>
      <c r="AQ88" s="81">
        <f t="shared" si="178"/>
        <v>-0.18994978900000001</v>
      </c>
      <c r="AR88" s="65"/>
      <c r="AT88" s="65"/>
      <c r="AU88" s="90"/>
      <c r="AV88" s="80" t="s">
        <v>337</v>
      </c>
      <c r="AW88" s="358">
        <f>HLOOKUP(AU$1,DGbaseF2V!$A$58:$S$74,16,0)*AU$2</f>
        <v>-3.3520550999999996E-2</v>
      </c>
      <c r="AX88" s="81"/>
      <c r="AY88" s="81"/>
      <c r="AZ88" s="81">
        <f t="shared" si="179"/>
        <v>-3.3520550999999996E-2</v>
      </c>
      <c r="BA88" s="65"/>
      <c r="BC88" s="65"/>
      <c r="BD88" s="90"/>
      <c r="BE88" s="80" t="s">
        <v>337</v>
      </c>
      <c r="BF88" s="358">
        <f>HLOOKUP(BD$1,DGbaseF2V!$A$58:$S$74,16,0)*BD$2</f>
        <v>-3.6872606099999997E-2</v>
      </c>
      <c r="BG88" s="81"/>
      <c r="BH88" s="81"/>
      <c r="BI88" s="81">
        <f t="shared" si="180"/>
        <v>-3.6872606099999997E-2</v>
      </c>
      <c r="BJ88" s="65"/>
      <c r="BL88" s="65"/>
      <c r="BM88" s="90"/>
      <c r="BN88" s="80" t="s">
        <v>337</v>
      </c>
      <c r="BO88" s="358">
        <f>HLOOKUP(BM$1,DGbaseF2V!$A$58:$S$74,16,0)*BM$2</f>
        <v>-1.1173516999999999E-2</v>
      </c>
      <c r="BP88" s="81"/>
      <c r="BQ88" s="81"/>
      <c r="BR88" s="81">
        <f t="shared" si="181"/>
        <v>-1.1173516999999999E-2</v>
      </c>
      <c r="BS88" s="65"/>
      <c r="BU88" s="65"/>
      <c r="BV88" s="90"/>
      <c r="BW88" s="80" t="s">
        <v>337</v>
      </c>
      <c r="BX88" s="358">
        <f>HLOOKUP(BV$1,DGbaseF2V!$A$58:$S$74,16,0)*BV$2</f>
        <v>-2.2347033999999998E-2</v>
      </c>
      <c r="BY88" s="81"/>
      <c r="BZ88" s="81"/>
      <c r="CA88" s="81">
        <f t="shared" si="182"/>
        <v>-2.2347033999999998E-2</v>
      </c>
      <c r="CB88" s="65"/>
      <c r="CD88" s="65"/>
      <c r="CE88" s="90"/>
      <c r="CF88" s="80" t="s">
        <v>337</v>
      </c>
      <c r="CG88" s="358">
        <f>HLOOKUP(CE$1,DGbaseF2V!$A$58:$S$74,16,0)*CE$2</f>
        <v>-1.8994978900000001E-2</v>
      </c>
      <c r="CH88" s="81"/>
      <c r="CI88" s="81"/>
      <c r="CJ88" s="81">
        <f t="shared" si="183"/>
        <v>-1.8994978900000001E-2</v>
      </c>
      <c r="CK88" s="65"/>
      <c r="CM88" s="370"/>
      <c r="CN88" s="386"/>
      <c r="CO88" s="381" t="s">
        <v>337</v>
      </c>
      <c r="CP88" s="382">
        <f>HLOOKUP($CP$2,D$3:CK$106,86,FALSE)</f>
        <v>-2.2347033999999998E-2</v>
      </c>
      <c r="CQ88" s="382">
        <f>HLOOKUP($CQ$2,D$3:CK$106,86,FALSE)</f>
        <v>0</v>
      </c>
      <c r="CR88" s="382">
        <f>HLOOKUP($CR$2,D$3:CK$106,86,FALSE)</f>
        <v>0</v>
      </c>
      <c r="CS88" s="382">
        <f>HLOOKUP($CS$2,D$3:CK$106,86,FALSE)</f>
        <v>-2.2347033999999998E-2</v>
      </c>
      <c r="CT88" s="370"/>
    </row>
    <row r="89" spans="1:98" ht="18" x14ac:dyDescent="0.35">
      <c r="A89" s="65"/>
      <c r="B89" s="90"/>
      <c r="C89" s="80" t="s">
        <v>321</v>
      </c>
      <c r="D89" s="358" t="e">
        <f>HLOOKUP($B$1,DGbaseF2V!$A$22:$S$38,16,0)*$B$2</f>
        <v>#N/A</v>
      </c>
      <c r="E89" s="81"/>
      <c r="F89" s="81"/>
      <c r="G89" s="81" t="e">
        <f t="shared" si="166"/>
        <v>#N/A</v>
      </c>
      <c r="H89" s="65"/>
      <c r="J89" s="65"/>
      <c r="K89" s="90"/>
      <c r="L89" s="80" t="s">
        <v>321</v>
      </c>
      <c r="M89" s="358" t="e">
        <f>HLOOKUP(K$1,DGbaseF2V!$A$22:$S$38,16,0)*K$2</f>
        <v>#N/A</v>
      </c>
      <c r="N89" s="81"/>
      <c r="O89" s="81"/>
      <c r="P89" s="81" t="e">
        <f t="shared" si="167"/>
        <v>#N/A</v>
      </c>
      <c r="Q89" s="65"/>
      <c r="S89" s="65"/>
      <c r="T89" s="90"/>
      <c r="U89" s="80" t="s">
        <v>321</v>
      </c>
      <c r="V89" s="358" t="e">
        <f>HLOOKUP(T$1,DGbaseF2V!$A$22:$S$38,16,0)*T$2</f>
        <v>#N/A</v>
      </c>
      <c r="W89" s="81"/>
      <c r="X89" s="81"/>
      <c r="Y89" s="81" t="e">
        <f t="shared" si="176"/>
        <v>#N/A</v>
      </c>
      <c r="Z89" s="65"/>
      <c r="AB89" s="65"/>
      <c r="AC89" s="90"/>
      <c r="AD89" s="80" t="s">
        <v>321</v>
      </c>
      <c r="AE89" s="358" t="e">
        <f>HLOOKUP(AC$1,DGbaseF2V!$A$22:$S$38,16,0)*AC$2</f>
        <v>#N/A</v>
      </c>
      <c r="AF89" s="81"/>
      <c r="AG89" s="81"/>
      <c r="AH89" s="81" t="e">
        <f t="shared" si="177"/>
        <v>#N/A</v>
      </c>
      <c r="AI89" s="65"/>
      <c r="AK89" s="65"/>
      <c r="AL89" s="90"/>
      <c r="AM89" s="80" t="s">
        <v>321</v>
      </c>
      <c r="AN89" s="358" t="e">
        <f>HLOOKUP(AL$1,DGbaseF2V!$A$22:$S$38,16,0)*AL$2</f>
        <v>#N/A</v>
      </c>
      <c r="AO89" s="81"/>
      <c r="AP89" s="81"/>
      <c r="AQ89" s="81" t="e">
        <f t="shared" si="178"/>
        <v>#N/A</v>
      </c>
      <c r="AR89" s="65"/>
      <c r="AT89" s="65"/>
      <c r="AU89" s="90"/>
      <c r="AV89" s="80" t="s">
        <v>321</v>
      </c>
      <c r="AW89" s="358" t="e">
        <f>HLOOKUP(AU$1,DGbaseF2V!$A$22:$S$38,16,0)*AU$2</f>
        <v>#N/A</v>
      </c>
      <c r="AX89" s="81"/>
      <c r="AY89" s="81"/>
      <c r="AZ89" s="81" t="e">
        <f t="shared" si="179"/>
        <v>#N/A</v>
      </c>
      <c r="BA89" s="65"/>
      <c r="BC89" s="65"/>
      <c r="BD89" s="90"/>
      <c r="BE89" s="80" t="s">
        <v>321</v>
      </c>
      <c r="BF89" s="358">
        <f>HLOOKUP(BD$1,DGbaseF2V!$A$22:$S$38,16,0)*BD$2</f>
        <v>0.13198983929999999</v>
      </c>
      <c r="BG89" s="81"/>
      <c r="BH89" s="81"/>
      <c r="BI89" s="81">
        <f t="shared" si="180"/>
        <v>0.13198983929999999</v>
      </c>
      <c r="BJ89" s="65"/>
      <c r="BL89" s="65"/>
      <c r="BM89" s="90"/>
      <c r="BN89" s="80" t="s">
        <v>321</v>
      </c>
      <c r="BO89" s="358">
        <f>HLOOKUP(BM$1,DGbaseF2V!$A$22:$S$38,16,0)*BM$2</f>
        <v>3.9996920999999998E-2</v>
      </c>
      <c r="BP89" s="81"/>
      <c r="BQ89" s="81"/>
      <c r="BR89" s="81">
        <f t="shared" si="181"/>
        <v>3.9996920999999998E-2</v>
      </c>
      <c r="BS89" s="65"/>
      <c r="BU89" s="65"/>
      <c r="BV89" s="90"/>
      <c r="BW89" s="80" t="s">
        <v>321</v>
      </c>
      <c r="BX89" s="358" t="e">
        <f>HLOOKUP(BV$1,DGbaseF2V!$A$22:$S$38,16,0)*BV$2</f>
        <v>#N/A</v>
      </c>
      <c r="BY89" s="81"/>
      <c r="BZ89" s="81"/>
      <c r="CA89" s="81" t="e">
        <f t="shared" si="182"/>
        <v>#N/A</v>
      </c>
      <c r="CB89" s="65"/>
      <c r="CD89" s="65"/>
      <c r="CE89" s="90"/>
      <c r="CF89" s="80" t="s">
        <v>321</v>
      </c>
      <c r="CG89" s="358" t="e">
        <f>HLOOKUP(CE$1,DGbaseF2V!$A$22:$S$38,16,0)*CE$2</f>
        <v>#N/A</v>
      </c>
      <c r="CH89" s="81"/>
      <c r="CI89" s="81"/>
      <c r="CJ89" s="81" t="e">
        <f t="shared" si="183"/>
        <v>#N/A</v>
      </c>
      <c r="CK89" s="65"/>
      <c r="CM89" s="370"/>
      <c r="CN89" s="386"/>
      <c r="CO89" s="381" t="s">
        <v>321</v>
      </c>
      <c r="CP89" s="382" t="e">
        <f>HLOOKUP($CP$2,D$3:CK$106,87,FALSE)</f>
        <v>#N/A</v>
      </c>
      <c r="CQ89" s="382">
        <f>HLOOKUP($CQ$2,D$3:CK$106,87,FALSE)</f>
        <v>0</v>
      </c>
      <c r="CR89" s="382">
        <f>HLOOKUP($CR$2,D$3:CK$106,87,FALSE)</f>
        <v>0</v>
      </c>
      <c r="CS89" s="382" t="e">
        <f>HLOOKUP($CS$2,D$3:CK$106,87,FALSE)</f>
        <v>#N/A</v>
      </c>
      <c r="CT89" s="370"/>
    </row>
    <row r="90" spans="1:98" ht="18" x14ac:dyDescent="0.35">
      <c r="A90" s="65"/>
      <c r="B90" s="90"/>
      <c r="C90" s="80" t="s">
        <v>322</v>
      </c>
      <c r="D90" s="81" t="s">
        <v>19</v>
      </c>
      <c r="E90" s="81" t="s">
        <v>19</v>
      </c>
      <c r="F90" s="81" t="s">
        <v>19</v>
      </c>
      <c r="G90" s="81" t="s">
        <v>19</v>
      </c>
      <c r="H90" s="65"/>
      <c r="J90" s="65"/>
      <c r="K90" s="90"/>
      <c r="L90" s="80" t="s">
        <v>322</v>
      </c>
      <c r="M90" s="81" t="s">
        <v>19</v>
      </c>
      <c r="N90" s="81" t="s">
        <v>19</v>
      </c>
      <c r="O90" s="81" t="s">
        <v>19</v>
      </c>
      <c r="P90" s="81" t="s">
        <v>19</v>
      </c>
      <c r="Q90" s="65"/>
      <c r="S90" s="65"/>
      <c r="T90" s="90"/>
      <c r="U90" s="80" t="s">
        <v>322</v>
      </c>
      <c r="V90" s="81" t="s">
        <v>19</v>
      </c>
      <c r="W90" s="81" t="s">
        <v>19</v>
      </c>
      <c r="X90" s="81" t="s">
        <v>19</v>
      </c>
      <c r="Y90" s="81" t="s">
        <v>19</v>
      </c>
      <c r="Z90" s="65"/>
      <c r="AB90" s="65"/>
      <c r="AC90" s="90"/>
      <c r="AD90" s="80" t="s">
        <v>322</v>
      </c>
      <c r="AE90" s="81" t="s">
        <v>19</v>
      </c>
      <c r="AF90" s="81" t="s">
        <v>19</v>
      </c>
      <c r="AG90" s="81" t="s">
        <v>19</v>
      </c>
      <c r="AH90" s="81" t="s">
        <v>19</v>
      </c>
      <c r="AI90" s="65"/>
      <c r="AK90" s="65"/>
      <c r="AL90" s="90"/>
      <c r="AM90" s="80" t="s">
        <v>322</v>
      </c>
      <c r="AN90" s="81" t="s">
        <v>19</v>
      </c>
      <c r="AO90" s="81" t="s">
        <v>19</v>
      </c>
      <c r="AP90" s="81" t="s">
        <v>19</v>
      </c>
      <c r="AQ90" s="81" t="s">
        <v>19</v>
      </c>
      <c r="AR90" s="65"/>
      <c r="AT90" s="65"/>
      <c r="AU90" s="90"/>
      <c r="AV90" s="80" t="s">
        <v>322</v>
      </c>
      <c r="AW90" s="81" t="s">
        <v>19</v>
      </c>
      <c r="AX90" s="81" t="s">
        <v>19</v>
      </c>
      <c r="AY90" s="81" t="s">
        <v>19</v>
      </c>
      <c r="AZ90" s="81" t="s">
        <v>19</v>
      </c>
      <c r="BA90" s="65"/>
      <c r="BC90" s="65"/>
      <c r="BD90" s="90"/>
      <c r="BE90" s="80" t="s">
        <v>322</v>
      </c>
      <c r="BF90" s="81" t="s">
        <v>19</v>
      </c>
      <c r="BG90" s="81" t="s">
        <v>19</v>
      </c>
      <c r="BH90" s="81" t="s">
        <v>19</v>
      </c>
      <c r="BI90" s="81" t="s">
        <v>19</v>
      </c>
      <c r="BJ90" s="65"/>
      <c r="BL90" s="65"/>
      <c r="BM90" s="90"/>
      <c r="BN90" s="80" t="s">
        <v>322</v>
      </c>
      <c r="BO90" s="81" t="s">
        <v>19</v>
      </c>
      <c r="BP90" s="81" t="s">
        <v>19</v>
      </c>
      <c r="BQ90" s="81" t="s">
        <v>19</v>
      </c>
      <c r="BR90" s="81" t="s">
        <v>19</v>
      </c>
      <c r="BS90" s="65"/>
      <c r="BU90" s="65"/>
      <c r="BV90" s="90"/>
      <c r="BW90" s="80" t="s">
        <v>322</v>
      </c>
      <c r="BX90" s="81" t="s">
        <v>19</v>
      </c>
      <c r="BY90" s="81" t="s">
        <v>19</v>
      </c>
      <c r="BZ90" s="81" t="s">
        <v>19</v>
      </c>
      <c r="CA90" s="81" t="s">
        <v>19</v>
      </c>
      <c r="CB90" s="65"/>
      <c r="CD90" s="65"/>
      <c r="CE90" s="90"/>
      <c r="CF90" s="80" t="s">
        <v>322</v>
      </c>
      <c r="CG90" s="81" t="s">
        <v>19</v>
      </c>
      <c r="CH90" s="81" t="s">
        <v>19</v>
      </c>
      <c r="CI90" s="81" t="s">
        <v>19</v>
      </c>
      <c r="CJ90" s="81" t="s">
        <v>19</v>
      </c>
      <c r="CK90" s="65"/>
      <c r="CM90" s="370"/>
      <c r="CN90" s="386"/>
      <c r="CO90" s="381" t="s">
        <v>322</v>
      </c>
      <c r="CP90" s="382" t="str">
        <f>HLOOKUP($CP$2,D$3:CK$106,88,FALSE)</f>
        <v>x</v>
      </c>
      <c r="CQ90" s="382" t="str">
        <f>HLOOKUP($CQ$2,D$3:CK$106,88,FALSE)</f>
        <v>x</v>
      </c>
      <c r="CR90" s="382" t="str">
        <f>HLOOKUP($CR$2,D$3:CK$106,88,FALSE)</f>
        <v>x</v>
      </c>
      <c r="CS90" s="382" t="str">
        <f>HLOOKUP($CS$2,D$3:CK$106,88,FALSE)</f>
        <v>x</v>
      </c>
      <c r="CT90" s="370"/>
    </row>
    <row r="91" spans="1:98" ht="18" x14ac:dyDescent="0.35">
      <c r="A91" s="65"/>
      <c r="B91" s="90"/>
      <c r="C91" s="80" t="s">
        <v>339</v>
      </c>
      <c r="D91" s="358">
        <f>HLOOKUP($B$1,DGbaseF2V!$A$40:$S$56,16,0)*$B$2</f>
        <v>1.52265764</v>
      </c>
      <c r="E91" s="81"/>
      <c r="F91" s="81"/>
      <c r="G91" s="81">
        <f t="shared" si="166"/>
        <v>1.52265764</v>
      </c>
      <c r="H91" s="65"/>
      <c r="J91" s="65"/>
      <c r="K91" s="90"/>
      <c r="L91" s="80" t="s">
        <v>339</v>
      </c>
      <c r="M91" s="358">
        <f>HLOOKUP(K$1,DGbaseF2V!$A$40:$S$56,16,0)*K$2</f>
        <v>1.5100801000000001</v>
      </c>
      <c r="N91" s="81"/>
      <c r="O91" s="81"/>
      <c r="P91" s="81">
        <f t="shared" si="167"/>
        <v>1.5100801000000001</v>
      </c>
      <c r="Q91" s="65"/>
      <c r="S91" s="65"/>
      <c r="T91" s="90"/>
      <c r="U91" s="80" t="s">
        <v>339</v>
      </c>
      <c r="V91" s="358">
        <f>HLOOKUP(T$1,DGbaseF2V!$A$40:$S$56,16,0)*T$2</f>
        <v>2.0897239500500002</v>
      </c>
      <c r="W91" s="81"/>
      <c r="X91" s="81"/>
      <c r="Y91" s="81">
        <f t="shared" ref="Y91" si="184">V91+W91+X91</f>
        <v>2.0897239500500002</v>
      </c>
      <c r="Z91" s="65"/>
      <c r="AB91" s="65"/>
      <c r="AC91" s="90"/>
      <c r="AD91" s="80" t="s">
        <v>339</v>
      </c>
      <c r="AE91" s="358">
        <f>HLOOKUP(AC$1,DGbaseF2V!$A$40:$S$56,16,0)*AC$2</f>
        <v>1.70977414095</v>
      </c>
      <c r="AF91" s="81"/>
      <c r="AG91" s="81"/>
      <c r="AH91" s="81">
        <f t="shared" ref="AH91" si="185">AE91+AF91+AG91</f>
        <v>1.70977414095</v>
      </c>
      <c r="AI91" s="65"/>
      <c r="AK91" s="65"/>
      <c r="AL91" s="90"/>
      <c r="AM91" s="80" t="s">
        <v>339</v>
      </c>
      <c r="AN91" s="358">
        <f>HLOOKUP(AL$1,DGbaseF2V!$A$40:$S$56,16,0)*AL$2</f>
        <v>12.94258994</v>
      </c>
      <c r="AO91" s="81"/>
      <c r="AP91" s="81"/>
      <c r="AQ91" s="81">
        <f t="shared" ref="AQ91" si="186">AN91+AO91+AP91</f>
        <v>12.94258994</v>
      </c>
      <c r="AR91" s="65"/>
      <c r="AT91" s="65"/>
      <c r="AU91" s="90"/>
      <c r="AV91" s="80" t="s">
        <v>339</v>
      </c>
      <c r="AW91" s="358">
        <f>HLOOKUP(AU$1,DGbaseF2V!$A$40:$S$56,16,0)*AU$2</f>
        <v>2.26512015</v>
      </c>
      <c r="AX91" s="81"/>
      <c r="AY91" s="81"/>
      <c r="AZ91" s="81">
        <f t="shared" ref="AZ91" si="187">AW91+AX91+AY91</f>
        <v>2.26512015</v>
      </c>
      <c r="BA91" s="65"/>
      <c r="BC91" s="65"/>
      <c r="BD91" s="90"/>
      <c r="BE91" s="80" t="s">
        <v>339</v>
      </c>
      <c r="BF91" s="358">
        <f>HLOOKUP(BD$1,DGbaseF2V!$A$40:$S$56,16,0)*BD$2</f>
        <v>0.13198983929999999</v>
      </c>
      <c r="BG91" s="81"/>
      <c r="BH91" s="81"/>
      <c r="BI91" s="81">
        <f t="shared" ref="BI91" si="188">BF91+BG91+BH91</f>
        <v>0.13198983929999999</v>
      </c>
      <c r="BJ91" s="65"/>
      <c r="BL91" s="65"/>
      <c r="BM91" s="90"/>
      <c r="BN91" s="80" t="s">
        <v>339</v>
      </c>
      <c r="BO91" s="358">
        <f>HLOOKUP(BM$1,DGbaseF2V!$A$40:$S$56,16,0)*BM$2</f>
        <v>3.9996920999999998E-2</v>
      </c>
      <c r="BP91" s="81"/>
      <c r="BQ91" s="81"/>
      <c r="BR91" s="81">
        <f t="shared" ref="BR91" si="189">BO91+BP91+BQ91</f>
        <v>3.9996920999999998E-2</v>
      </c>
      <c r="BS91" s="65"/>
      <c r="BU91" s="65"/>
      <c r="BV91" s="90"/>
      <c r="BW91" s="80" t="s">
        <v>339</v>
      </c>
      <c r="BX91" s="358">
        <f>HLOOKUP(BV$1,DGbaseF2V!$A$40:$S$56,16,0)*BV$2</f>
        <v>1.5100801000000001</v>
      </c>
      <c r="BY91" s="81"/>
      <c r="BZ91" s="81"/>
      <c r="CA91" s="81">
        <f t="shared" ref="CA91" si="190">BX91+BY91+BZ91</f>
        <v>1.5100801000000001</v>
      </c>
      <c r="CB91" s="65"/>
      <c r="CD91" s="65"/>
      <c r="CE91" s="90"/>
      <c r="CF91" s="80" t="s">
        <v>339</v>
      </c>
      <c r="CG91" s="358">
        <f>HLOOKUP(CE$1,DGbaseF2V!$A$40:$S$56,16,0)*CE$2</f>
        <v>1.294258994</v>
      </c>
      <c r="CH91" s="81"/>
      <c r="CI91" s="81"/>
      <c r="CJ91" s="81">
        <f t="shared" ref="CJ91" si="191">CG91+CH91+CI91</f>
        <v>1.294258994</v>
      </c>
      <c r="CK91" s="65"/>
      <c r="CM91" s="370"/>
      <c r="CN91" s="386"/>
      <c r="CO91" s="381" t="s">
        <v>339</v>
      </c>
      <c r="CP91" s="382">
        <f>HLOOKUP($CP$2,D$3:CK$106,89,FALSE)</f>
        <v>1.5100801000000001</v>
      </c>
      <c r="CQ91" s="382">
        <f>HLOOKUP($CQ$2,D$3:CK$106,89,FALSE)</f>
        <v>0</v>
      </c>
      <c r="CR91" s="382">
        <f>HLOOKUP($CR$2,D$3:CK$106,89,FALSE)</f>
        <v>0</v>
      </c>
      <c r="CS91" s="382">
        <f>HLOOKUP($CS$2,D$3:CK$106,89,FALSE)</f>
        <v>1.5100801000000001</v>
      </c>
      <c r="CT91" s="370"/>
    </row>
    <row r="92" spans="1:98" ht="18" x14ac:dyDescent="0.35">
      <c r="A92" s="65"/>
      <c r="B92" s="90"/>
      <c r="C92" s="80" t="s">
        <v>340</v>
      </c>
      <c r="D92" s="86"/>
      <c r="E92" s="86"/>
      <c r="F92" s="86"/>
      <c r="G92" s="86"/>
      <c r="H92" s="89" t="s">
        <v>341</v>
      </c>
      <c r="J92" s="65"/>
      <c r="K92" s="90"/>
      <c r="L92" s="80" t="s">
        <v>340</v>
      </c>
      <c r="M92" s="86"/>
      <c r="N92" s="86"/>
      <c r="O92" s="86"/>
      <c r="P92" s="86"/>
      <c r="Q92" s="89" t="s">
        <v>341</v>
      </c>
      <c r="S92" s="65"/>
      <c r="T92" s="90"/>
      <c r="U92" s="80" t="s">
        <v>340</v>
      </c>
      <c r="V92" s="86"/>
      <c r="W92" s="86"/>
      <c r="X92" s="86"/>
      <c r="Y92" s="86"/>
      <c r="Z92" s="89" t="s">
        <v>341</v>
      </c>
      <c r="AB92" s="65"/>
      <c r="AC92" s="90"/>
      <c r="AD92" s="80" t="s">
        <v>340</v>
      </c>
      <c r="AE92" s="86"/>
      <c r="AF92" s="86"/>
      <c r="AG92" s="86"/>
      <c r="AH92" s="86"/>
      <c r="AI92" s="89" t="s">
        <v>341</v>
      </c>
      <c r="AK92" s="65"/>
      <c r="AL92" s="90"/>
      <c r="AM92" s="80" t="s">
        <v>340</v>
      </c>
      <c r="AN92" s="86"/>
      <c r="AO92" s="86"/>
      <c r="AP92" s="86"/>
      <c r="AQ92" s="86"/>
      <c r="AR92" s="89" t="s">
        <v>341</v>
      </c>
      <c r="AT92" s="65"/>
      <c r="AU92" s="90"/>
      <c r="AV92" s="80" t="s">
        <v>340</v>
      </c>
      <c r="AW92" s="86"/>
      <c r="AX92" s="86"/>
      <c r="AY92" s="86"/>
      <c r="AZ92" s="86"/>
      <c r="BA92" s="89" t="s">
        <v>341</v>
      </c>
      <c r="BC92" s="65"/>
      <c r="BD92" s="90"/>
      <c r="BE92" s="80" t="s">
        <v>340</v>
      </c>
      <c r="BF92" s="86"/>
      <c r="BG92" s="86"/>
      <c r="BH92" s="86"/>
      <c r="BI92" s="86"/>
      <c r="BJ92" s="89" t="s">
        <v>341</v>
      </c>
      <c r="BL92" s="65"/>
      <c r="BM92" s="90"/>
      <c r="BN92" s="80" t="s">
        <v>340</v>
      </c>
      <c r="BO92" s="86"/>
      <c r="BP92" s="86"/>
      <c r="BQ92" s="86"/>
      <c r="BR92" s="86"/>
      <c r="BS92" s="89" t="s">
        <v>341</v>
      </c>
      <c r="BU92" s="65"/>
      <c r="BV92" s="90"/>
      <c r="BW92" s="80" t="s">
        <v>340</v>
      </c>
      <c r="BX92" s="86"/>
      <c r="BY92" s="86"/>
      <c r="BZ92" s="86"/>
      <c r="CA92" s="86"/>
      <c r="CB92" s="89" t="s">
        <v>341</v>
      </c>
      <c r="CD92" s="65"/>
      <c r="CE92" s="90"/>
      <c r="CF92" s="80" t="s">
        <v>340</v>
      </c>
      <c r="CG92" s="86"/>
      <c r="CH92" s="86"/>
      <c r="CI92" s="86"/>
      <c r="CJ92" s="86"/>
      <c r="CK92" s="89" t="s">
        <v>341</v>
      </c>
      <c r="CM92" s="370"/>
      <c r="CN92" s="386"/>
      <c r="CO92" s="381" t="s">
        <v>340</v>
      </c>
      <c r="CP92" s="382"/>
      <c r="CQ92" s="382"/>
      <c r="CR92" s="382"/>
      <c r="CS92" s="382"/>
      <c r="CT92" s="385" t="s">
        <v>341</v>
      </c>
    </row>
    <row r="93" spans="1:98" ht="18" x14ac:dyDescent="0.35">
      <c r="A93" s="65"/>
      <c r="B93" s="90"/>
      <c r="C93" s="85"/>
      <c r="D93" s="92"/>
      <c r="E93" s="92"/>
      <c r="F93" s="92"/>
      <c r="G93" s="92"/>
      <c r="H93" s="65"/>
      <c r="J93" s="65"/>
      <c r="K93" s="90"/>
      <c r="L93" s="85"/>
      <c r="M93" s="92"/>
      <c r="N93" s="92"/>
      <c r="O93" s="92"/>
      <c r="P93" s="92"/>
      <c r="Q93" s="65"/>
      <c r="S93" s="65"/>
      <c r="T93" s="90"/>
      <c r="U93" s="85"/>
      <c r="V93" s="92"/>
      <c r="W93" s="92"/>
      <c r="X93" s="92"/>
      <c r="Y93" s="92"/>
      <c r="Z93" s="65"/>
      <c r="AB93" s="65"/>
      <c r="AC93" s="90"/>
      <c r="AD93" s="85"/>
      <c r="AE93" s="92"/>
      <c r="AF93" s="92"/>
      <c r="AG93" s="92"/>
      <c r="AH93" s="92"/>
      <c r="AI93" s="65"/>
      <c r="AK93" s="65"/>
      <c r="AL93" s="90"/>
      <c r="AM93" s="85"/>
      <c r="AN93" s="92"/>
      <c r="AO93" s="92"/>
      <c r="AP93" s="92"/>
      <c r="AQ93" s="92"/>
      <c r="AR93" s="65"/>
      <c r="AT93" s="65"/>
      <c r="AU93" s="90"/>
      <c r="AV93" s="85"/>
      <c r="AW93" s="92"/>
      <c r="AX93" s="92"/>
      <c r="AY93" s="92"/>
      <c r="AZ93" s="92"/>
      <c r="BA93" s="65"/>
      <c r="BC93" s="65"/>
      <c r="BD93" s="90"/>
      <c r="BE93" s="85"/>
      <c r="BF93" s="92"/>
      <c r="BG93" s="92"/>
      <c r="BH93" s="92"/>
      <c r="BI93" s="92"/>
      <c r="BJ93" s="65"/>
      <c r="BL93" s="65"/>
      <c r="BM93" s="90"/>
      <c r="BN93" s="85"/>
      <c r="BO93" s="92"/>
      <c r="BP93" s="92"/>
      <c r="BQ93" s="92"/>
      <c r="BR93" s="92"/>
      <c r="BS93" s="65"/>
      <c r="BU93" s="65"/>
      <c r="BV93" s="90"/>
      <c r="BW93" s="85"/>
      <c r="BX93" s="92"/>
      <c r="BY93" s="92"/>
      <c r="BZ93" s="92"/>
      <c r="CA93" s="92"/>
      <c r="CB93" s="65"/>
      <c r="CD93" s="65"/>
      <c r="CE93" s="90"/>
      <c r="CF93" s="85"/>
      <c r="CG93" s="92"/>
      <c r="CH93" s="92"/>
      <c r="CI93" s="92"/>
      <c r="CJ93" s="92"/>
      <c r="CK93" s="65"/>
      <c r="CM93" s="370"/>
      <c r="CN93" s="386"/>
      <c r="CO93" s="383"/>
      <c r="CP93" s="382"/>
      <c r="CQ93" s="382"/>
      <c r="CR93" s="382"/>
      <c r="CS93" s="382"/>
      <c r="CT93" s="370"/>
    </row>
    <row r="94" spans="1:98" ht="18" x14ac:dyDescent="0.35">
      <c r="A94" s="20"/>
      <c r="B94" s="95"/>
      <c r="C94" s="105"/>
      <c r="D94" s="112"/>
      <c r="E94" s="112"/>
      <c r="F94" s="112"/>
      <c r="G94" s="112"/>
      <c r="H94" s="20"/>
      <c r="J94" s="20"/>
      <c r="K94" s="95"/>
      <c r="L94" s="105"/>
      <c r="M94" s="112"/>
      <c r="N94" s="112"/>
      <c r="O94" s="112"/>
      <c r="P94" s="112"/>
      <c r="Q94" s="20"/>
      <c r="S94" s="20"/>
      <c r="T94" s="95"/>
      <c r="U94" s="105"/>
      <c r="V94" s="112"/>
      <c r="W94" s="112"/>
      <c r="X94" s="112"/>
      <c r="Y94" s="112"/>
      <c r="Z94" s="20"/>
      <c r="AB94" s="20"/>
      <c r="AC94" s="95"/>
      <c r="AD94" s="105"/>
      <c r="AE94" s="112"/>
      <c r="AF94" s="112"/>
      <c r="AG94" s="112"/>
      <c r="AH94" s="112"/>
      <c r="AI94" s="20"/>
      <c r="AK94" s="20"/>
      <c r="AL94" s="95"/>
      <c r="AM94" s="105"/>
      <c r="AN94" s="112"/>
      <c r="AO94" s="112"/>
      <c r="AP94" s="112"/>
      <c r="AQ94" s="112"/>
      <c r="AR94" s="20"/>
      <c r="AT94" s="20"/>
      <c r="AU94" s="95"/>
      <c r="AV94" s="105"/>
      <c r="AW94" s="112"/>
      <c r="AX94" s="112"/>
      <c r="AY94" s="112"/>
      <c r="AZ94" s="112"/>
      <c r="BA94" s="20"/>
      <c r="BC94" s="20"/>
      <c r="BD94" s="95"/>
      <c r="BE94" s="105"/>
      <c r="BF94" s="112"/>
      <c r="BG94" s="112"/>
      <c r="BH94" s="112"/>
      <c r="BI94" s="112"/>
      <c r="BJ94" s="20"/>
      <c r="BL94" s="20"/>
      <c r="BM94" s="95"/>
      <c r="BN94" s="105"/>
      <c r="BO94" s="112"/>
      <c r="BP94" s="112"/>
      <c r="BQ94" s="112"/>
      <c r="BR94" s="112"/>
      <c r="BS94" s="20"/>
      <c r="BU94" s="20"/>
      <c r="BV94" s="95"/>
      <c r="BW94" s="105"/>
      <c r="BX94" s="112"/>
      <c r="BY94" s="112"/>
      <c r="BZ94" s="112"/>
      <c r="CA94" s="112"/>
      <c r="CB94" s="20"/>
      <c r="CD94" s="20"/>
      <c r="CE94" s="95"/>
      <c r="CF94" s="105"/>
      <c r="CG94" s="112"/>
      <c r="CH94" s="112"/>
      <c r="CI94" s="112"/>
      <c r="CJ94" s="112"/>
      <c r="CK94" s="20"/>
      <c r="CM94" s="370"/>
      <c r="CN94" s="386"/>
      <c r="CO94" s="383"/>
      <c r="CP94" s="382"/>
      <c r="CQ94" s="382"/>
      <c r="CR94" s="382"/>
      <c r="CS94" s="382"/>
      <c r="CT94" s="370"/>
    </row>
    <row r="95" spans="1:98" ht="18" x14ac:dyDescent="0.3">
      <c r="A95" s="65"/>
      <c r="B95" s="75" t="s">
        <v>334</v>
      </c>
      <c r="C95" s="100" t="s">
        <v>348</v>
      </c>
      <c r="D95" s="77"/>
      <c r="E95" s="77"/>
      <c r="F95" s="77"/>
      <c r="G95" s="77"/>
      <c r="H95" s="65"/>
      <c r="J95" s="65"/>
      <c r="K95" s="75" t="s">
        <v>334</v>
      </c>
      <c r="L95" s="100" t="s">
        <v>348</v>
      </c>
      <c r="M95" s="77"/>
      <c r="N95" s="77"/>
      <c r="O95" s="77"/>
      <c r="P95" s="77"/>
      <c r="Q95" s="65"/>
      <c r="S95" s="65"/>
      <c r="T95" s="75" t="s">
        <v>334</v>
      </c>
      <c r="U95" s="100" t="s">
        <v>348</v>
      </c>
      <c r="V95" s="77"/>
      <c r="W95" s="77"/>
      <c r="X95" s="77"/>
      <c r="Y95" s="77"/>
      <c r="Z95" s="65"/>
      <c r="AB95" s="65"/>
      <c r="AC95" s="75" t="s">
        <v>334</v>
      </c>
      <c r="AD95" s="100" t="s">
        <v>348</v>
      </c>
      <c r="AE95" s="77"/>
      <c r="AF95" s="77"/>
      <c r="AG95" s="77"/>
      <c r="AH95" s="77"/>
      <c r="AI95" s="65"/>
      <c r="AK95" s="65"/>
      <c r="AL95" s="75" t="s">
        <v>334</v>
      </c>
      <c r="AM95" s="100" t="s">
        <v>348</v>
      </c>
      <c r="AN95" s="77"/>
      <c r="AO95" s="77"/>
      <c r="AP95" s="77"/>
      <c r="AQ95" s="77"/>
      <c r="AR95" s="65"/>
      <c r="AT95" s="65"/>
      <c r="AU95" s="75" t="s">
        <v>334</v>
      </c>
      <c r="AV95" s="100" t="s">
        <v>348</v>
      </c>
      <c r="AW95" s="77"/>
      <c r="AX95" s="77"/>
      <c r="AY95" s="77"/>
      <c r="AZ95" s="77"/>
      <c r="BA95" s="65"/>
      <c r="BC95" s="65"/>
      <c r="BD95" s="75" t="s">
        <v>334</v>
      </c>
      <c r="BE95" s="100" t="s">
        <v>348</v>
      </c>
      <c r="BF95" s="77"/>
      <c r="BG95" s="77"/>
      <c r="BH95" s="77"/>
      <c r="BI95" s="77"/>
      <c r="BJ95" s="65"/>
      <c r="BL95" s="65"/>
      <c r="BM95" s="75" t="s">
        <v>334</v>
      </c>
      <c r="BN95" s="100" t="s">
        <v>348</v>
      </c>
      <c r="BO95" s="77"/>
      <c r="BP95" s="77"/>
      <c r="BQ95" s="77"/>
      <c r="BR95" s="77"/>
      <c r="BS95" s="65"/>
      <c r="BU95" s="65"/>
      <c r="BV95" s="75" t="s">
        <v>334</v>
      </c>
      <c r="BW95" s="100" t="s">
        <v>348</v>
      </c>
      <c r="BX95" s="77"/>
      <c r="BY95" s="77"/>
      <c r="BZ95" s="77"/>
      <c r="CA95" s="77"/>
      <c r="CB95" s="65"/>
      <c r="CD95" s="65"/>
      <c r="CE95" s="75" t="s">
        <v>334</v>
      </c>
      <c r="CF95" s="100" t="s">
        <v>348</v>
      </c>
      <c r="CG95" s="77"/>
      <c r="CH95" s="77"/>
      <c r="CI95" s="77"/>
      <c r="CJ95" s="77"/>
      <c r="CK95" s="65"/>
      <c r="CM95" s="370"/>
      <c r="CN95" s="377" t="s">
        <v>334</v>
      </c>
      <c r="CO95" s="389" t="s">
        <v>348</v>
      </c>
      <c r="CP95" s="379">
        <f>IF($CS$3="yes",(SUM(CP96,CP97,CP104)/1),(SUM(CP96:CP102)/1))</f>
        <v>7.4320718110000011E-7</v>
      </c>
      <c r="CQ95" s="379">
        <f>IF($CS$3="yes",(SUM(CQ96,CQ97,CQ104)/1),(SUM(CQ96:CQ102)/1))</f>
        <v>7.0306263999999999E-8</v>
      </c>
      <c r="CR95" s="379">
        <f>IF($CS$3="yes",(SUM(CR96,CR97,CR104)/1),(SUM(CR96:CR102)/1))</f>
        <v>0</v>
      </c>
      <c r="CS95" s="379">
        <f>IF($CS$3="yes",(SUM(CS96,CS97,CS104)/1),(SUM(CS96:CS102)/1))</f>
        <v>8.1351344509999996E-7</v>
      </c>
      <c r="CT95" s="370"/>
    </row>
    <row r="96" spans="1:98" ht="18" x14ac:dyDescent="0.35">
      <c r="A96" s="65"/>
      <c r="B96" s="90"/>
      <c r="C96" s="80" t="s">
        <v>13</v>
      </c>
      <c r="D96" s="81">
        <v>1.1375325000000001E-7</v>
      </c>
      <c r="E96" s="81"/>
      <c r="F96" s="81"/>
      <c r="G96" s="81">
        <f>D96+E96+F96</f>
        <v>1.1375325000000001E-7</v>
      </c>
      <c r="H96" s="65"/>
      <c r="J96" s="65"/>
      <c r="K96" s="90"/>
      <c r="L96" s="80" t="s">
        <v>13</v>
      </c>
      <c r="M96" s="81">
        <v>3.4078468999999998E-7</v>
      </c>
      <c r="N96" s="81">
        <v>1.135949E-7</v>
      </c>
      <c r="O96" s="81"/>
      <c r="P96" s="81">
        <f>M96+N96+O96</f>
        <v>4.5437958999999996E-7</v>
      </c>
      <c r="Q96" s="65"/>
      <c r="S96" s="65"/>
      <c r="T96" s="90"/>
      <c r="U96" s="80" t="s">
        <v>13</v>
      </c>
      <c r="V96" s="81">
        <v>-2.5779143000000001E-10</v>
      </c>
      <c r="W96" s="81"/>
      <c r="X96" s="81"/>
      <c r="Y96" s="81">
        <f>V96+W96+X96</f>
        <v>-2.5779143000000001E-10</v>
      </c>
      <c r="Z96" s="65"/>
      <c r="AB96" s="65"/>
      <c r="AC96" s="90"/>
      <c r="AD96" s="80" t="s">
        <v>13</v>
      </c>
      <c r="AE96" s="81"/>
      <c r="AF96" s="81"/>
      <c r="AG96" s="81"/>
      <c r="AH96" s="81">
        <f>AE96+AF96+AG96</f>
        <v>0</v>
      </c>
      <c r="AI96" s="65"/>
      <c r="AK96" s="65"/>
      <c r="AL96" s="90"/>
      <c r="AM96" s="80" t="s">
        <v>13</v>
      </c>
      <c r="AN96" s="81">
        <v>3.4477949999999999E-6</v>
      </c>
      <c r="AO96" s="81">
        <v>2.2718978999999999E-7</v>
      </c>
      <c r="AP96" s="81"/>
      <c r="AQ96" s="81">
        <f>AN96+AO96+AP96</f>
        <v>3.6749847900000001E-6</v>
      </c>
      <c r="AR96" s="65"/>
      <c r="AT96" s="65"/>
      <c r="AU96" s="90"/>
      <c r="AV96" s="80" t="s">
        <v>13</v>
      </c>
      <c r="AW96" s="81">
        <v>6.8156937999999996E-7</v>
      </c>
      <c r="AX96" s="81"/>
      <c r="AY96" s="81"/>
      <c r="AZ96" s="81">
        <f>AW96+AX96+AY96</f>
        <v>6.8156937999999996E-7</v>
      </c>
      <c r="BA96" s="65"/>
      <c r="BC96" s="65"/>
      <c r="BD96" s="90"/>
      <c r="BE96" s="80" t="s">
        <v>13</v>
      </c>
      <c r="BF96" s="81">
        <v>1.684007E-7</v>
      </c>
      <c r="BG96" s="81">
        <v>7.0306263999999999E-8</v>
      </c>
      <c r="BH96" s="81"/>
      <c r="BI96" s="81">
        <f>BF96+BG96+BH96</f>
        <v>2.38706964E-7</v>
      </c>
      <c r="BJ96" s="65"/>
      <c r="BL96" s="65"/>
      <c r="BM96" s="90"/>
      <c r="BN96" s="80" t="s">
        <v>13</v>
      </c>
      <c r="BO96" s="81">
        <v>5.6133567000000003E-8</v>
      </c>
      <c r="BP96" s="81"/>
      <c r="BQ96" s="81"/>
      <c r="BR96" s="81">
        <f>BO96+BP96+BQ96</f>
        <v>5.6133567000000003E-8</v>
      </c>
      <c r="BS96" s="65"/>
      <c r="BU96" s="65"/>
      <c r="BV96" s="90"/>
      <c r="BW96" s="80" t="s">
        <v>13</v>
      </c>
      <c r="BX96" s="81">
        <v>4.5437959000000002E-7</v>
      </c>
      <c r="BY96" s="81">
        <f>BG96</f>
        <v>7.0306263999999999E-8</v>
      </c>
      <c r="BZ96" s="81"/>
      <c r="CA96" s="81">
        <f>BX96+BY96+BZ96</f>
        <v>5.2468585399999996E-7</v>
      </c>
      <c r="CB96" s="65"/>
      <c r="CD96" s="65"/>
      <c r="CE96" s="90"/>
      <c r="CF96" s="80" t="s">
        <v>13</v>
      </c>
      <c r="CG96" s="81">
        <v>9.3232012999999992E-8</v>
      </c>
      <c r="CH96" s="81">
        <v>5.8588553000000003E-8</v>
      </c>
      <c r="CI96" s="81"/>
      <c r="CJ96" s="81">
        <f>CG96+CH96+CI96</f>
        <v>1.5182056599999998E-7</v>
      </c>
      <c r="CK96" s="65"/>
      <c r="CM96" s="370"/>
      <c r="CN96" s="386"/>
      <c r="CO96" s="381" t="s">
        <v>13</v>
      </c>
      <c r="CP96" s="382">
        <f>HLOOKUP($CP$2,D$3:CK$106,94,FALSE)</f>
        <v>4.5437959000000002E-7</v>
      </c>
      <c r="CQ96" s="382">
        <f>HLOOKUP($CQ$2,D$3:CK$106,94,FALSE)</f>
        <v>7.0306263999999999E-8</v>
      </c>
      <c r="CR96" s="382">
        <f>HLOOKUP($CR$2,D$3:CK$106,94,FALSE)</f>
        <v>0</v>
      </c>
      <c r="CS96" s="382">
        <f>HLOOKUP($CS$2,D$3:CK$106,94,FALSE)</f>
        <v>5.2468585399999996E-7</v>
      </c>
      <c r="CT96" s="370"/>
    </row>
    <row r="97" spans="1:98" ht="18" x14ac:dyDescent="0.35">
      <c r="A97" s="65"/>
      <c r="B97" s="90"/>
      <c r="C97" s="80" t="s">
        <v>306</v>
      </c>
      <c r="D97" s="81">
        <v>2.7403838E-8</v>
      </c>
      <c r="E97" s="81"/>
      <c r="F97" s="81"/>
      <c r="G97" s="81">
        <f t="shared" ref="G97:G104" si="192">D97+E97+F97</f>
        <v>2.7403838E-8</v>
      </c>
      <c r="H97" s="65"/>
      <c r="J97" s="65"/>
      <c r="K97" s="90"/>
      <c r="L97" s="80" t="s">
        <v>306</v>
      </c>
      <c r="M97" s="81">
        <v>5.4845307000000001E-9</v>
      </c>
      <c r="N97" s="81">
        <v>1.8153024000000001E-9</v>
      </c>
      <c r="O97" s="81"/>
      <c r="P97" s="81">
        <f t="shared" ref="P97:P104" si="193">M97+N97+O97</f>
        <v>7.2998331000000006E-9</v>
      </c>
      <c r="Q97" s="65"/>
      <c r="S97" s="65"/>
      <c r="T97" s="90"/>
      <c r="U97" s="80" t="s">
        <v>306</v>
      </c>
      <c r="V97" s="81">
        <v>1.2050518E-8</v>
      </c>
      <c r="W97" s="81"/>
      <c r="X97" s="81"/>
      <c r="Y97" s="81">
        <f t="shared" ref="Y97" si="194">V97+W97+X97</f>
        <v>1.2050518E-8</v>
      </c>
      <c r="Z97" s="65"/>
      <c r="AB97" s="65"/>
      <c r="AC97" s="90"/>
      <c r="AD97" s="80" t="s">
        <v>306</v>
      </c>
      <c r="AE97" s="81"/>
      <c r="AF97" s="81"/>
      <c r="AG97" s="81"/>
      <c r="AH97" s="81">
        <f t="shared" ref="AH97" si="195">AE97+AF97+AG97</f>
        <v>0</v>
      </c>
      <c r="AI97" s="65"/>
      <c r="AK97" s="65"/>
      <c r="AL97" s="90"/>
      <c r="AM97" s="80" t="s">
        <v>306</v>
      </c>
      <c r="AN97" s="81">
        <v>4.8948578000000002E-7</v>
      </c>
      <c r="AO97" s="81">
        <v>3.8623455000000002E-9</v>
      </c>
      <c r="AP97" s="81"/>
      <c r="AQ97" s="81">
        <f t="shared" ref="AQ97" si="196">AN97+AO97+AP97</f>
        <v>4.9334812550000004E-7</v>
      </c>
      <c r="AR97" s="65"/>
      <c r="AT97" s="65"/>
      <c r="AU97" s="90"/>
      <c r="AV97" s="80" t="s">
        <v>306</v>
      </c>
      <c r="AW97" s="81">
        <v>1.1587037E-8</v>
      </c>
      <c r="AX97" s="81"/>
      <c r="AY97" s="81"/>
      <c r="AZ97" s="81">
        <f t="shared" ref="AZ97" si="197">AW97+AX97+AY97</f>
        <v>1.1587037E-8</v>
      </c>
      <c r="BA97" s="65"/>
      <c r="BC97" s="65"/>
      <c r="BD97" s="90"/>
      <c r="BE97" s="80" t="s">
        <v>306</v>
      </c>
      <c r="BF97" s="81">
        <v>1.2166388000000001E-8</v>
      </c>
      <c r="BG97" s="81"/>
      <c r="BH97" s="81"/>
      <c r="BI97" s="81">
        <f t="shared" ref="BI97" si="198">BF97+BG97+BH97</f>
        <v>1.2166388000000001E-8</v>
      </c>
      <c r="BJ97" s="65"/>
      <c r="BL97" s="65"/>
      <c r="BM97" s="90"/>
      <c r="BN97" s="80" t="s">
        <v>306</v>
      </c>
      <c r="BO97" s="81">
        <v>3.8623455000000002E-9</v>
      </c>
      <c r="BP97" s="81"/>
      <c r="BQ97" s="81"/>
      <c r="BR97" s="81">
        <f t="shared" ref="BR97" si="199">BO97+BP97+BQ97</f>
        <v>3.8623455000000002E-9</v>
      </c>
      <c r="BS97" s="65"/>
      <c r="BU97" s="65"/>
      <c r="BV97" s="90"/>
      <c r="BW97" s="80" t="s">
        <v>306</v>
      </c>
      <c r="BX97" s="81">
        <v>7.7246911000000005E-9</v>
      </c>
      <c r="BY97" s="81"/>
      <c r="BZ97" s="81"/>
      <c r="CA97" s="81">
        <f t="shared" ref="CA97" si="200">BX97+BY97+BZ97</f>
        <v>7.7246911000000005E-9</v>
      </c>
      <c r="CB97" s="65"/>
      <c r="CD97" s="65"/>
      <c r="CE97" s="90"/>
      <c r="CF97" s="80" t="s">
        <v>306</v>
      </c>
      <c r="CG97" s="81">
        <v>2.2781503999999999E-8</v>
      </c>
      <c r="CH97" s="81"/>
      <c r="CI97" s="81"/>
      <c r="CJ97" s="81">
        <f t="shared" ref="CJ97" si="201">CG97+CH97+CI97</f>
        <v>2.2781503999999999E-8</v>
      </c>
      <c r="CK97" s="65"/>
      <c r="CM97" s="370"/>
      <c r="CN97" s="386"/>
      <c r="CO97" s="381" t="s">
        <v>306</v>
      </c>
      <c r="CP97" s="382">
        <f>HLOOKUP($CP$2,D$3:CK$106,95,FALSE)</f>
        <v>7.7246911000000005E-9</v>
      </c>
      <c r="CQ97" s="382">
        <f>HLOOKUP($CQ$2,D$3:CK$106,95,FALSE)</f>
        <v>0</v>
      </c>
      <c r="CR97" s="382">
        <f>HLOOKUP($CR$2,D$3:CK$106,95,FALSE)</f>
        <v>0</v>
      </c>
      <c r="CS97" s="382">
        <f>HLOOKUP($CS$2,D$3:CK$106,95,FALSE)</f>
        <v>7.7246911000000005E-9</v>
      </c>
      <c r="CT97" s="370"/>
    </row>
    <row r="98" spans="1:98" ht="18" x14ac:dyDescent="0.35">
      <c r="A98" s="65"/>
      <c r="B98" s="90"/>
      <c r="C98" s="80" t="s">
        <v>312</v>
      </c>
      <c r="D98" s="81" t="s">
        <v>19</v>
      </c>
      <c r="E98" s="81" t="s">
        <v>19</v>
      </c>
      <c r="F98" s="81" t="s">
        <v>19</v>
      </c>
      <c r="G98" s="81" t="s">
        <v>19</v>
      </c>
      <c r="H98" s="65"/>
      <c r="J98" s="65"/>
      <c r="K98" s="90"/>
      <c r="L98" s="80" t="s">
        <v>312</v>
      </c>
      <c r="M98" s="81" t="s">
        <v>19</v>
      </c>
      <c r="N98" s="81" t="s">
        <v>19</v>
      </c>
      <c r="O98" s="81" t="s">
        <v>19</v>
      </c>
      <c r="P98" s="81" t="s">
        <v>19</v>
      </c>
      <c r="Q98" s="65"/>
      <c r="S98" s="65"/>
      <c r="T98" s="90"/>
      <c r="U98" s="80" t="s">
        <v>312</v>
      </c>
      <c r="V98" s="81" t="s">
        <v>19</v>
      </c>
      <c r="W98" s="81" t="s">
        <v>19</v>
      </c>
      <c r="X98" s="81" t="s">
        <v>19</v>
      </c>
      <c r="Y98" s="81" t="s">
        <v>19</v>
      </c>
      <c r="Z98" s="65"/>
      <c r="AB98" s="65"/>
      <c r="AC98" s="90"/>
      <c r="AD98" s="80" t="s">
        <v>312</v>
      </c>
      <c r="AE98" s="81" t="s">
        <v>19</v>
      </c>
      <c r="AF98" s="81" t="s">
        <v>19</v>
      </c>
      <c r="AG98" s="81" t="s">
        <v>19</v>
      </c>
      <c r="AH98" s="81" t="s">
        <v>19</v>
      </c>
      <c r="AI98" s="65"/>
      <c r="AK98" s="65"/>
      <c r="AL98" s="90"/>
      <c r="AM98" s="80" t="s">
        <v>312</v>
      </c>
      <c r="AN98" s="81" t="s">
        <v>19</v>
      </c>
      <c r="AO98" s="81" t="s">
        <v>19</v>
      </c>
      <c r="AP98" s="81" t="s">
        <v>19</v>
      </c>
      <c r="AQ98" s="81" t="s">
        <v>19</v>
      </c>
      <c r="AR98" s="65"/>
      <c r="AT98" s="65"/>
      <c r="AU98" s="90"/>
      <c r="AV98" s="80" t="s">
        <v>312</v>
      </c>
      <c r="AW98" s="81" t="s">
        <v>19</v>
      </c>
      <c r="AX98" s="81" t="s">
        <v>19</v>
      </c>
      <c r="AY98" s="81" t="s">
        <v>19</v>
      </c>
      <c r="AZ98" s="81" t="s">
        <v>19</v>
      </c>
      <c r="BA98" s="65"/>
      <c r="BC98" s="65"/>
      <c r="BD98" s="90"/>
      <c r="BE98" s="80" t="s">
        <v>312</v>
      </c>
      <c r="BF98" s="81" t="s">
        <v>19</v>
      </c>
      <c r="BG98" s="81" t="s">
        <v>19</v>
      </c>
      <c r="BH98" s="81" t="s">
        <v>19</v>
      </c>
      <c r="BI98" s="81" t="s">
        <v>19</v>
      </c>
      <c r="BJ98" s="65"/>
      <c r="BL98" s="65"/>
      <c r="BM98" s="90"/>
      <c r="BN98" s="80" t="s">
        <v>312</v>
      </c>
      <c r="BO98" s="81" t="s">
        <v>19</v>
      </c>
      <c r="BP98" s="81" t="s">
        <v>19</v>
      </c>
      <c r="BQ98" s="81" t="s">
        <v>19</v>
      </c>
      <c r="BR98" s="81" t="s">
        <v>19</v>
      </c>
      <c r="BS98" s="65"/>
      <c r="BU98" s="65"/>
      <c r="BV98" s="90"/>
      <c r="BW98" s="80" t="s">
        <v>312</v>
      </c>
      <c r="BX98" s="81" t="s">
        <v>19</v>
      </c>
      <c r="BY98" s="81" t="s">
        <v>19</v>
      </c>
      <c r="BZ98" s="81" t="s">
        <v>19</v>
      </c>
      <c r="CA98" s="81" t="s">
        <v>19</v>
      </c>
      <c r="CB98" s="65"/>
      <c r="CD98" s="65"/>
      <c r="CE98" s="90"/>
      <c r="CF98" s="80" t="s">
        <v>312</v>
      </c>
      <c r="CG98" s="81" t="s">
        <v>19</v>
      </c>
      <c r="CH98" s="81" t="s">
        <v>19</v>
      </c>
      <c r="CI98" s="81" t="s">
        <v>19</v>
      </c>
      <c r="CJ98" s="81" t="s">
        <v>19</v>
      </c>
      <c r="CK98" s="65"/>
      <c r="CM98" s="370"/>
      <c r="CN98" s="386"/>
      <c r="CO98" s="381" t="s">
        <v>312</v>
      </c>
      <c r="CP98" s="382" t="str">
        <f>HLOOKUP($CP$2,D$3:CK$106,96,FALSE)</f>
        <v>x</v>
      </c>
      <c r="CQ98" s="382" t="str">
        <f>HLOOKUP($CQ$2,D$3:CK$106,96,FALSE)</f>
        <v>x</v>
      </c>
      <c r="CR98" s="382" t="str">
        <f>HLOOKUP($CR$2,D$3:CK$106,96,FALSE)</f>
        <v>x</v>
      </c>
      <c r="CS98" s="382" t="str">
        <f>HLOOKUP($CS$2,D$3:CK$106,96,FALSE)</f>
        <v>x</v>
      </c>
      <c r="CT98" s="370"/>
    </row>
    <row r="99" spans="1:98" ht="18" x14ac:dyDescent="0.35">
      <c r="A99" s="65"/>
      <c r="B99" s="90"/>
      <c r="C99" s="80" t="s">
        <v>314</v>
      </c>
      <c r="D99" s="81" t="s">
        <v>19</v>
      </c>
      <c r="E99" s="81" t="s">
        <v>19</v>
      </c>
      <c r="F99" s="81" t="s">
        <v>19</v>
      </c>
      <c r="G99" s="81" t="s">
        <v>19</v>
      </c>
      <c r="H99" s="65"/>
      <c r="J99" s="65"/>
      <c r="K99" s="90"/>
      <c r="L99" s="80" t="s">
        <v>314</v>
      </c>
      <c r="M99" s="81" t="s">
        <v>19</v>
      </c>
      <c r="N99" s="81" t="s">
        <v>19</v>
      </c>
      <c r="O99" s="81" t="s">
        <v>19</v>
      </c>
      <c r="P99" s="81" t="s">
        <v>19</v>
      </c>
      <c r="Q99" s="65"/>
      <c r="S99" s="65"/>
      <c r="T99" s="90"/>
      <c r="U99" s="80" t="s">
        <v>314</v>
      </c>
      <c r="V99" s="81" t="s">
        <v>19</v>
      </c>
      <c r="W99" s="81" t="s">
        <v>19</v>
      </c>
      <c r="X99" s="81" t="s">
        <v>19</v>
      </c>
      <c r="Y99" s="81" t="s">
        <v>19</v>
      </c>
      <c r="Z99" s="65"/>
      <c r="AB99" s="65"/>
      <c r="AC99" s="90"/>
      <c r="AD99" s="80" t="s">
        <v>314</v>
      </c>
      <c r="AE99" s="81" t="s">
        <v>19</v>
      </c>
      <c r="AF99" s="81" t="s">
        <v>19</v>
      </c>
      <c r="AG99" s="81" t="s">
        <v>19</v>
      </c>
      <c r="AH99" s="81" t="s">
        <v>19</v>
      </c>
      <c r="AI99" s="65"/>
      <c r="AK99" s="65"/>
      <c r="AL99" s="90"/>
      <c r="AM99" s="80" t="s">
        <v>314</v>
      </c>
      <c r="AN99" s="81" t="s">
        <v>19</v>
      </c>
      <c r="AO99" s="81" t="s">
        <v>19</v>
      </c>
      <c r="AP99" s="81" t="s">
        <v>19</v>
      </c>
      <c r="AQ99" s="81" t="s">
        <v>19</v>
      </c>
      <c r="AR99" s="65"/>
      <c r="AT99" s="65"/>
      <c r="AU99" s="90"/>
      <c r="AV99" s="80" t="s">
        <v>314</v>
      </c>
      <c r="AW99" s="81" t="s">
        <v>19</v>
      </c>
      <c r="AX99" s="81" t="s">
        <v>19</v>
      </c>
      <c r="AY99" s="81" t="s">
        <v>19</v>
      </c>
      <c r="AZ99" s="81" t="s">
        <v>19</v>
      </c>
      <c r="BA99" s="65"/>
      <c r="BC99" s="65"/>
      <c r="BD99" s="90"/>
      <c r="BE99" s="80" t="s">
        <v>314</v>
      </c>
      <c r="BF99" s="81" t="s">
        <v>19</v>
      </c>
      <c r="BG99" s="81" t="s">
        <v>19</v>
      </c>
      <c r="BH99" s="81" t="s">
        <v>19</v>
      </c>
      <c r="BI99" s="81" t="s">
        <v>19</v>
      </c>
      <c r="BJ99" s="65"/>
      <c r="BL99" s="65"/>
      <c r="BM99" s="90"/>
      <c r="BN99" s="80" t="s">
        <v>314</v>
      </c>
      <c r="BO99" s="81" t="s">
        <v>19</v>
      </c>
      <c r="BP99" s="81" t="s">
        <v>19</v>
      </c>
      <c r="BQ99" s="81" t="s">
        <v>19</v>
      </c>
      <c r="BR99" s="81" t="s">
        <v>19</v>
      </c>
      <c r="BS99" s="65"/>
      <c r="BU99" s="65"/>
      <c r="BV99" s="90"/>
      <c r="BW99" s="80" t="s">
        <v>314</v>
      </c>
      <c r="BX99" s="81" t="s">
        <v>19</v>
      </c>
      <c r="BY99" s="81" t="s">
        <v>19</v>
      </c>
      <c r="BZ99" s="81" t="s">
        <v>19</v>
      </c>
      <c r="CA99" s="81" t="s">
        <v>19</v>
      </c>
      <c r="CB99" s="65"/>
      <c r="CD99" s="65"/>
      <c r="CE99" s="90"/>
      <c r="CF99" s="80" t="s">
        <v>314</v>
      </c>
      <c r="CG99" s="81" t="s">
        <v>19</v>
      </c>
      <c r="CH99" s="81" t="s">
        <v>19</v>
      </c>
      <c r="CI99" s="81" t="s">
        <v>19</v>
      </c>
      <c r="CJ99" s="81" t="s">
        <v>19</v>
      </c>
      <c r="CK99" s="65"/>
      <c r="CM99" s="370"/>
      <c r="CN99" s="386"/>
      <c r="CO99" s="381" t="s">
        <v>314</v>
      </c>
      <c r="CP99" s="382" t="str">
        <f>HLOOKUP($CP$2,D$3:CK$106,97,FALSE)</f>
        <v>x</v>
      </c>
      <c r="CQ99" s="382" t="str">
        <f>HLOOKUP($CQ$2,D$3:CK$106,97,FALSE)</f>
        <v>x</v>
      </c>
      <c r="CR99" s="382" t="str">
        <f>HLOOKUP($CR$2,D$3:CK$106,97,FALSE)</f>
        <v>x</v>
      </c>
      <c r="CS99" s="382" t="str">
        <f>HLOOKUP($CS$2,D$3:CK$106,97,FALSE)</f>
        <v>x</v>
      </c>
      <c r="CT99" s="370"/>
    </row>
    <row r="100" spans="1:98" ht="18" x14ac:dyDescent="0.35">
      <c r="A100" s="65"/>
      <c r="B100" s="90"/>
      <c r="C100" s="80" t="s">
        <v>320</v>
      </c>
      <c r="D100" s="358" t="e">
        <f>HLOOKUP($B$1,DGbaseF2V!$A$76:$S$92,17,0)*$B$2</f>
        <v>#N/A</v>
      </c>
      <c r="E100" s="81"/>
      <c r="F100" s="81"/>
      <c r="G100" s="81" t="e">
        <f t="shared" si="192"/>
        <v>#N/A</v>
      </c>
      <c r="H100" s="65"/>
      <c r="J100" s="65"/>
      <c r="K100" s="90"/>
      <c r="L100" s="80" t="s">
        <v>320</v>
      </c>
      <c r="M100" s="358" t="e">
        <f>HLOOKUP(K$1,DGbaseF2V!$A$76:$S$92,17,0)*K$2</f>
        <v>#N/A</v>
      </c>
      <c r="N100" s="81"/>
      <c r="O100" s="81"/>
      <c r="P100" s="81" t="e">
        <f t="shared" si="193"/>
        <v>#N/A</v>
      </c>
      <c r="Q100" s="65"/>
      <c r="S100" s="65"/>
      <c r="T100" s="90"/>
      <c r="U100" s="80" t="s">
        <v>320</v>
      </c>
      <c r="V100" s="358" t="e">
        <f>HLOOKUP(T$1,DGbaseF2V!$A$76:$S$92,17,0)*T$2</f>
        <v>#N/A</v>
      </c>
      <c r="W100" s="81"/>
      <c r="X100" s="81"/>
      <c r="Y100" s="81" t="e">
        <f t="shared" ref="Y100:Y102" si="202">V100+W100+X100</f>
        <v>#N/A</v>
      </c>
      <c r="Z100" s="65"/>
      <c r="AB100" s="65"/>
      <c r="AC100" s="90"/>
      <c r="AD100" s="80" t="s">
        <v>320</v>
      </c>
      <c r="AE100" s="358" t="e">
        <f>HLOOKUP(AC$1,DGbaseF2V!$A$76:$S$92,17,0)*AC$2</f>
        <v>#N/A</v>
      </c>
      <c r="AF100" s="81"/>
      <c r="AG100" s="81"/>
      <c r="AH100" s="81" t="e">
        <f t="shared" ref="AH100:AH102" si="203">AE100+AF100+AG100</f>
        <v>#N/A</v>
      </c>
      <c r="AI100" s="65"/>
      <c r="AK100" s="65"/>
      <c r="AL100" s="90"/>
      <c r="AM100" s="80" t="s">
        <v>320</v>
      </c>
      <c r="AN100" s="358" t="e">
        <f>HLOOKUP(AL$1,DGbaseF2V!$A$76:$S$92,17,0)*AL$2</f>
        <v>#N/A</v>
      </c>
      <c r="AO100" s="81"/>
      <c r="AP100" s="81"/>
      <c r="AQ100" s="81" t="e">
        <f t="shared" ref="AQ100:AQ102" si="204">AN100+AO100+AP100</f>
        <v>#N/A</v>
      </c>
      <c r="AR100" s="65"/>
      <c r="AT100" s="65"/>
      <c r="AU100" s="90"/>
      <c r="AV100" s="80" t="s">
        <v>320</v>
      </c>
      <c r="AW100" s="358" t="e">
        <f>HLOOKUP(AU$1,DGbaseF2V!$A$76:$S$92,17,0)*AU$2</f>
        <v>#N/A</v>
      </c>
      <c r="AX100" s="81"/>
      <c r="AY100" s="81"/>
      <c r="AZ100" s="81" t="e">
        <f t="shared" ref="AZ100:AZ102" si="205">AW100+AX100+AY100</f>
        <v>#N/A</v>
      </c>
      <c r="BA100" s="65"/>
      <c r="BC100" s="65"/>
      <c r="BD100" s="90"/>
      <c r="BE100" s="80" t="s">
        <v>320</v>
      </c>
      <c r="BF100" s="358" t="e">
        <f>HLOOKUP(BD$1,DGbaseF2V!$A$76:$S$92,17,0)*BD$2</f>
        <v>#N/A</v>
      </c>
      <c r="BG100" s="81"/>
      <c r="BH100" s="81"/>
      <c r="BI100" s="81" t="e">
        <f t="shared" ref="BI100:BI102" si="206">BF100+BG100+BH100</f>
        <v>#N/A</v>
      </c>
      <c r="BJ100" s="65"/>
      <c r="BL100" s="65"/>
      <c r="BM100" s="90"/>
      <c r="BN100" s="80" t="s">
        <v>320</v>
      </c>
      <c r="BO100" s="358" t="e">
        <f>HLOOKUP(BM$1,DGbaseF2V!$A$76:$S$92,17,0)*BM$2</f>
        <v>#N/A</v>
      </c>
      <c r="BP100" s="81"/>
      <c r="BQ100" s="81"/>
      <c r="BR100" s="81" t="e">
        <f t="shared" ref="BR100:BR102" si="207">BO100+BP100+BQ100</f>
        <v>#N/A</v>
      </c>
      <c r="BS100" s="65"/>
      <c r="BU100" s="65"/>
      <c r="BV100" s="90"/>
      <c r="BW100" s="80" t="s">
        <v>320</v>
      </c>
      <c r="BX100" s="358" t="e">
        <f>HLOOKUP(BV$1,DGbaseF2V!$A$76:$S$92,17,0)*BV$2</f>
        <v>#N/A</v>
      </c>
      <c r="BY100" s="81"/>
      <c r="BZ100" s="81"/>
      <c r="CA100" s="81" t="e">
        <f t="shared" ref="CA100:CA102" si="208">BX100+BY100+BZ100</f>
        <v>#N/A</v>
      </c>
      <c r="CB100" s="65"/>
      <c r="CD100" s="65"/>
      <c r="CE100" s="90"/>
      <c r="CF100" s="80" t="s">
        <v>320</v>
      </c>
      <c r="CG100" s="358" t="e">
        <f>HLOOKUP(CE$1,DGbaseF2V!$A$76:$S$92,17,0)*CE$2</f>
        <v>#N/A</v>
      </c>
      <c r="CH100" s="81"/>
      <c r="CI100" s="81"/>
      <c r="CJ100" s="81" t="e">
        <f t="shared" ref="CJ100:CJ102" si="209">CG100+CH100+CI100</f>
        <v>#N/A</v>
      </c>
      <c r="CK100" s="65"/>
      <c r="CM100" s="370"/>
      <c r="CN100" s="386"/>
      <c r="CO100" s="381" t="s">
        <v>320</v>
      </c>
      <c r="CP100" s="382" t="e">
        <f>HLOOKUP($CP$2,D$3:CK$106,98,FALSE)</f>
        <v>#N/A</v>
      </c>
      <c r="CQ100" s="382">
        <f>HLOOKUP($CQ$2,D$3:CK$106,98,FALSE)</f>
        <v>0</v>
      </c>
      <c r="CR100" s="382">
        <f>HLOOKUP($CR$2,D$3:CK$106,98,FALSE)</f>
        <v>0</v>
      </c>
      <c r="CS100" s="382" t="e">
        <f>HLOOKUP($CS$2,D$3:CK$106,98,FALSE)</f>
        <v>#N/A</v>
      </c>
      <c r="CT100" s="370"/>
    </row>
    <row r="101" spans="1:98" ht="18" x14ac:dyDescent="0.35">
      <c r="A101" s="65"/>
      <c r="B101" s="90"/>
      <c r="C101" s="80" t="s">
        <v>337</v>
      </c>
      <c r="D101" s="358">
        <f>HLOOKUP($B$1,DGbaseF2V!$A$58:$S$74,17,0)*$B$2</f>
        <v>-1.0943601400000001E-10</v>
      </c>
      <c r="E101" s="81"/>
      <c r="F101" s="81"/>
      <c r="G101" s="81">
        <f t="shared" si="192"/>
        <v>-1.0943601400000001E-10</v>
      </c>
      <c r="H101" s="65"/>
      <c r="J101" s="65"/>
      <c r="K101" s="90"/>
      <c r="L101" s="80" t="s">
        <v>337</v>
      </c>
      <c r="M101" s="358">
        <f>HLOOKUP(K$1,DGbaseF2V!$A$58:$S$74,17,0)*K$2</f>
        <v>-1.0943601400000001E-10</v>
      </c>
      <c r="N101" s="81"/>
      <c r="O101" s="81"/>
      <c r="P101" s="81">
        <f t="shared" si="193"/>
        <v>-1.0943601400000001E-10</v>
      </c>
      <c r="Q101" s="65"/>
      <c r="S101" s="65"/>
      <c r="T101" s="90"/>
      <c r="U101" s="80" t="s">
        <v>337</v>
      </c>
      <c r="V101" s="358">
        <f>HLOOKUP(T$1,DGbaseF2V!$A$58:$S$74,17,0)*T$2</f>
        <v>-1.8056945390000003E-10</v>
      </c>
      <c r="W101" s="81"/>
      <c r="X101" s="81"/>
      <c r="Y101" s="81">
        <f t="shared" si="202"/>
        <v>-1.8056945390000003E-10</v>
      </c>
      <c r="Z101" s="65"/>
      <c r="AB101" s="65"/>
      <c r="AC101" s="90"/>
      <c r="AD101" s="80" t="s">
        <v>337</v>
      </c>
      <c r="AE101" s="358">
        <f>HLOOKUP(AC$1,DGbaseF2V!$A$58:$S$74,17,0)*AC$2</f>
        <v>-1.477386441E-10</v>
      </c>
      <c r="AF101" s="81"/>
      <c r="AG101" s="81"/>
      <c r="AH101" s="81">
        <f t="shared" si="203"/>
        <v>-1.477386441E-10</v>
      </c>
      <c r="AI101" s="65"/>
      <c r="AK101" s="65"/>
      <c r="AL101" s="90"/>
      <c r="AM101" s="80" t="s">
        <v>337</v>
      </c>
      <c r="AN101" s="358">
        <f>HLOOKUP(AL$1,DGbaseF2V!$A$58:$S$74,17,0)*AL$2</f>
        <v>-9.3020611900000008E-10</v>
      </c>
      <c r="AO101" s="81"/>
      <c r="AP101" s="81"/>
      <c r="AQ101" s="81">
        <f t="shared" si="204"/>
        <v>-9.3020611900000008E-10</v>
      </c>
      <c r="AR101" s="65"/>
      <c r="AT101" s="65"/>
      <c r="AU101" s="90"/>
      <c r="AV101" s="80" t="s">
        <v>337</v>
      </c>
      <c r="AW101" s="358">
        <f>HLOOKUP(AU$1,DGbaseF2V!$A$58:$S$74,17,0)*AU$2</f>
        <v>-1.6415402100000001E-10</v>
      </c>
      <c r="AX101" s="81"/>
      <c r="AY101" s="81"/>
      <c r="AZ101" s="81">
        <f t="shared" si="205"/>
        <v>-1.6415402100000001E-10</v>
      </c>
      <c r="BA101" s="65"/>
      <c r="BC101" s="65"/>
      <c r="BD101" s="90"/>
      <c r="BE101" s="80" t="s">
        <v>337</v>
      </c>
      <c r="BF101" s="358">
        <f>HLOOKUP(BD$1,DGbaseF2V!$A$58:$S$74,17,0)*BD$2</f>
        <v>-1.8056942310000002E-10</v>
      </c>
      <c r="BG101" s="81"/>
      <c r="BH101" s="81"/>
      <c r="BI101" s="81">
        <f t="shared" si="206"/>
        <v>-1.8056942310000002E-10</v>
      </c>
      <c r="BJ101" s="65"/>
      <c r="BL101" s="65"/>
      <c r="BM101" s="90"/>
      <c r="BN101" s="80" t="s">
        <v>337</v>
      </c>
      <c r="BO101" s="358">
        <f>HLOOKUP(BM$1,DGbaseF2V!$A$58:$S$74,17,0)*BM$2</f>
        <v>-5.4718007000000006E-11</v>
      </c>
      <c r="BP101" s="81"/>
      <c r="BQ101" s="81"/>
      <c r="BR101" s="81">
        <f t="shared" si="207"/>
        <v>-5.4718007000000006E-11</v>
      </c>
      <c r="BS101" s="65"/>
      <c r="BU101" s="65"/>
      <c r="BV101" s="90"/>
      <c r="BW101" s="80" t="s">
        <v>337</v>
      </c>
      <c r="BX101" s="358">
        <f>HLOOKUP(BV$1,DGbaseF2V!$A$58:$S$74,17,0)*BV$2</f>
        <v>-1.0943601400000001E-10</v>
      </c>
      <c r="BY101" s="81"/>
      <c r="BZ101" s="81"/>
      <c r="CA101" s="81">
        <f t="shared" si="208"/>
        <v>-1.0943601400000001E-10</v>
      </c>
      <c r="CB101" s="65"/>
      <c r="CD101" s="65"/>
      <c r="CE101" s="90"/>
      <c r="CF101" s="80" t="s">
        <v>337</v>
      </c>
      <c r="CG101" s="358">
        <f>HLOOKUP(CE$1,DGbaseF2V!$A$58:$S$74,17,0)*CE$2</f>
        <v>-9.3020611900000013E-11</v>
      </c>
      <c r="CH101" s="81"/>
      <c r="CI101" s="81"/>
      <c r="CJ101" s="81">
        <f t="shared" si="209"/>
        <v>-9.3020611900000013E-11</v>
      </c>
      <c r="CK101" s="65"/>
      <c r="CM101" s="370"/>
      <c r="CN101" s="386"/>
      <c r="CO101" s="381" t="s">
        <v>337</v>
      </c>
      <c r="CP101" s="382">
        <f>HLOOKUP($CP$2,D$3:CK$106,99,FALSE)</f>
        <v>-1.0943601400000001E-10</v>
      </c>
      <c r="CQ101" s="382">
        <f>HLOOKUP($CQ$2,D$3:CK$106,99,FALSE)</f>
        <v>0</v>
      </c>
      <c r="CR101" s="382">
        <f>HLOOKUP($CR$2,D$3:CK$106,99,FALSE)</f>
        <v>0</v>
      </c>
      <c r="CS101" s="382">
        <f>HLOOKUP($CS$2,D$3:CK$106,99,FALSE)</f>
        <v>-1.0943601400000001E-10</v>
      </c>
      <c r="CT101" s="370"/>
    </row>
    <row r="102" spans="1:98" ht="18" x14ac:dyDescent="0.35">
      <c r="A102" s="65"/>
      <c r="B102" s="90"/>
      <c r="C102" s="80" t="s">
        <v>321</v>
      </c>
      <c r="D102" s="358" t="e">
        <f>HLOOKUP($B$1,DGbaseF2V!$A$22:$S$38,17,0)*$B$2</f>
        <v>#N/A</v>
      </c>
      <c r="E102" s="81"/>
      <c r="F102" s="81"/>
      <c r="G102" s="81" t="e">
        <f t="shared" si="192"/>
        <v>#N/A</v>
      </c>
      <c r="H102" s="65"/>
      <c r="J102" s="65"/>
      <c r="K102" s="90"/>
      <c r="L102" s="80" t="s">
        <v>321</v>
      </c>
      <c r="M102" s="358" t="e">
        <f>HLOOKUP(K$1,DGbaseF2V!$A$22:$S$38,17,0)*K$2</f>
        <v>#N/A</v>
      </c>
      <c r="N102" s="81"/>
      <c r="O102" s="81"/>
      <c r="P102" s="81" t="e">
        <f t="shared" si="193"/>
        <v>#N/A</v>
      </c>
      <c r="Q102" s="65"/>
      <c r="S102" s="65"/>
      <c r="T102" s="90"/>
      <c r="U102" s="80" t="s">
        <v>321</v>
      </c>
      <c r="V102" s="358" t="e">
        <f>HLOOKUP(T$1,DGbaseF2V!$A$22:$S$38,17,0)*T$2</f>
        <v>#N/A</v>
      </c>
      <c r="W102" s="81"/>
      <c r="X102" s="81"/>
      <c r="Y102" s="81" t="e">
        <f t="shared" si="202"/>
        <v>#N/A</v>
      </c>
      <c r="Z102" s="65"/>
      <c r="AB102" s="65"/>
      <c r="AC102" s="90"/>
      <c r="AD102" s="80" t="s">
        <v>321</v>
      </c>
      <c r="AE102" s="358" t="e">
        <f>HLOOKUP(AC$1,DGbaseF2V!$A$22:$S$38,17,0)*AC$2</f>
        <v>#N/A</v>
      </c>
      <c r="AF102" s="81"/>
      <c r="AG102" s="81"/>
      <c r="AH102" s="81" t="e">
        <f t="shared" si="203"/>
        <v>#N/A</v>
      </c>
      <c r="AI102" s="65"/>
      <c r="AK102" s="65"/>
      <c r="AL102" s="90"/>
      <c r="AM102" s="80" t="s">
        <v>321</v>
      </c>
      <c r="AN102" s="358" t="e">
        <f>HLOOKUP(AL$1,DGbaseF2V!$A$22:$S$38,17,0)*AL$2</f>
        <v>#N/A</v>
      </c>
      <c r="AO102" s="81"/>
      <c r="AP102" s="81"/>
      <c r="AQ102" s="81" t="e">
        <f t="shared" si="204"/>
        <v>#N/A</v>
      </c>
      <c r="AR102" s="65"/>
      <c r="AT102" s="65"/>
      <c r="AU102" s="90"/>
      <c r="AV102" s="80" t="s">
        <v>321</v>
      </c>
      <c r="AW102" s="358" t="e">
        <f>HLOOKUP(AU$1,DGbaseF2V!$A$22:$S$38,17,0)*AU$2</f>
        <v>#N/A</v>
      </c>
      <c r="AX102" s="81"/>
      <c r="AY102" s="81"/>
      <c r="AZ102" s="81" t="e">
        <f t="shared" si="205"/>
        <v>#N/A</v>
      </c>
      <c r="BA102" s="65"/>
      <c r="BC102" s="65"/>
      <c r="BD102" s="90"/>
      <c r="BE102" s="80" t="s">
        <v>321</v>
      </c>
      <c r="BF102" s="358">
        <f>HLOOKUP(BD$1,DGbaseF2V!$A$22:$S$38,17,0)*BD$2</f>
        <v>2.1986103480000001E-8</v>
      </c>
      <c r="BG102" s="81"/>
      <c r="BH102" s="81"/>
      <c r="BI102" s="81">
        <f t="shared" si="206"/>
        <v>2.1986103480000001E-8</v>
      </c>
      <c r="BJ102" s="65"/>
      <c r="BL102" s="65"/>
      <c r="BM102" s="90"/>
      <c r="BN102" s="80" t="s">
        <v>321</v>
      </c>
      <c r="BO102" s="358">
        <f>HLOOKUP(BM$1,DGbaseF2V!$A$22:$S$38,17,0)*BM$2</f>
        <v>6.6624556E-9</v>
      </c>
      <c r="BP102" s="81"/>
      <c r="BQ102" s="81"/>
      <c r="BR102" s="81">
        <f t="shared" si="207"/>
        <v>6.6624556E-9</v>
      </c>
      <c r="BS102" s="65"/>
      <c r="BU102" s="65"/>
      <c r="BV102" s="90"/>
      <c r="BW102" s="80" t="s">
        <v>321</v>
      </c>
      <c r="BX102" s="358" t="e">
        <f>HLOOKUP(BV$1,DGbaseF2V!$A$22:$S$38,17,0)*BV$2</f>
        <v>#N/A</v>
      </c>
      <c r="BY102" s="81"/>
      <c r="BZ102" s="81"/>
      <c r="CA102" s="81" t="e">
        <f t="shared" si="208"/>
        <v>#N/A</v>
      </c>
      <c r="CB102" s="65"/>
      <c r="CD102" s="65"/>
      <c r="CE102" s="90"/>
      <c r="CF102" s="80" t="s">
        <v>321</v>
      </c>
      <c r="CG102" s="358" t="e">
        <f>HLOOKUP(CE$1,DGbaseF2V!$A$22:$S$38,17,0)*CE$2</f>
        <v>#N/A</v>
      </c>
      <c r="CH102" s="81"/>
      <c r="CI102" s="81"/>
      <c r="CJ102" s="81" t="e">
        <f t="shared" si="209"/>
        <v>#N/A</v>
      </c>
      <c r="CK102" s="65"/>
      <c r="CM102" s="370"/>
      <c r="CN102" s="386"/>
      <c r="CO102" s="381" t="s">
        <v>321</v>
      </c>
      <c r="CP102" s="382" t="e">
        <f>HLOOKUP($CP$2,D$3:CK$106,100,FALSE)</f>
        <v>#N/A</v>
      </c>
      <c r="CQ102" s="382">
        <f>HLOOKUP($CQ$2,D$3:CK$106,100,FALSE)</f>
        <v>0</v>
      </c>
      <c r="CR102" s="382">
        <f>HLOOKUP($CR$2,D$3:CK$106,100,FALSE)</f>
        <v>0</v>
      </c>
      <c r="CS102" s="382" t="e">
        <f>HLOOKUP($CS$2,D$3:CK$106,100,FALSE)</f>
        <v>#N/A</v>
      </c>
      <c r="CT102" s="370"/>
    </row>
    <row r="103" spans="1:98" ht="18" x14ac:dyDescent="0.35">
      <c r="A103" s="65"/>
      <c r="B103" s="90"/>
      <c r="C103" s="80" t="s">
        <v>322</v>
      </c>
      <c r="D103" s="81" t="s">
        <v>19</v>
      </c>
      <c r="E103" s="81" t="s">
        <v>19</v>
      </c>
      <c r="F103" s="81" t="s">
        <v>19</v>
      </c>
      <c r="G103" s="81" t="s">
        <v>19</v>
      </c>
      <c r="H103" s="65"/>
      <c r="J103" s="65"/>
      <c r="K103" s="90"/>
      <c r="L103" s="80" t="s">
        <v>322</v>
      </c>
      <c r="M103" s="81" t="s">
        <v>19</v>
      </c>
      <c r="N103" s="81" t="s">
        <v>19</v>
      </c>
      <c r="O103" s="81" t="s">
        <v>19</v>
      </c>
      <c r="P103" s="81" t="s">
        <v>19</v>
      </c>
      <c r="Q103" s="65"/>
      <c r="S103" s="65"/>
      <c r="T103" s="90"/>
      <c r="U103" s="80" t="s">
        <v>322</v>
      </c>
      <c r="V103" s="81" t="s">
        <v>19</v>
      </c>
      <c r="W103" s="81" t="s">
        <v>19</v>
      </c>
      <c r="X103" s="81" t="s">
        <v>19</v>
      </c>
      <c r="Y103" s="81" t="s">
        <v>19</v>
      </c>
      <c r="Z103" s="65"/>
      <c r="AB103" s="65"/>
      <c r="AC103" s="90"/>
      <c r="AD103" s="80" t="s">
        <v>322</v>
      </c>
      <c r="AE103" s="81" t="s">
        <v>19</v>
      </c>
      <c r="AF103" s="81" t="s">
        <v>19</v>
      </c>
      <c r="AG103" s="81" t="s">
        <v>19</v>
      </c>
      <c r="AH103" s="81" t="s">
        <v>19</v>
      </c>
      <c r="AI103" s="65"/>
      <c r="AK103" s="65"/>
      <c r="AL103" s="90"/>
      <c r="AM103" s="80" t="s">
        <v>322</v>
      </c>
      <c r="AN103" s="81" t="s">
        <v>19</v>
      </c>
      <c r="AO103" s="81" t="s">
        <v>19</v>
      </c>
      <c r="AP103" s="81" t="s">
        <v>19</v>
      </c>
      <c r="AQ103" s="81" t="s">
        <v>19</v>
      </c>
      <c r="AR103" s="65"/>
      <c r="AT103" s="65"/>
      <c r="AU103" s="90"/>
      <c r="AV103" s="80" t="s">
        <v>322</v>
      </c>
      <c r="AW103" s="81" t="s">
        <v>19</v>
      </c>
      <c r="AX103" s="81" t="s">
        <v>19</v>
      </c>
      <c r="AY103" s="81" t="s">
        <v>19</v>
      </c>
      <c r="AZ103" s="81" t="s">
        <v>19</v>
      </c>
      <c r="BA103" s="65"/>
      <c r="BC103" s="65"/>
      <c r="BD103" s="90"/>
      <c r="BE103" s="80" t="s">
        <v>322</v>
      </c>
      <c r="BF103" s="81" t="s">
        <v>19</v>
      </c>
      <c r="BG103" s="81" t="s">
        <v>19</v>
      </c>
      <c r="BH103" s="81" t="s">
        <v>19</v>
      </c>
      <c r="BI103" s="81" t="s">
        <v>19</v>
      </c>
      <c r="BJ103" s="65"/>
      <c r="BL103" s="65"/>
      <c r="BM103" s="90"/>
      <c r="BN103" s="80" t="s">
        <v>322</v>
      </c>
      <c r="BO103" s="81" t="s">
        <v>19</v>
      </c>
      <c r="BP103" s="81" t="s">
        <v>19</v>
      </c>
      <c r="BQ103" s="81" t="s">
        <v>19</v>
      </c>
      <c r="BR103" s="81" t="s">
        <v>19</v>
      </c>
      <c r="BS103" s="65"/>
      <c r="BU103" s="65"/>
      <c r="BV103" s="90"/>
      <c r="BW103" s="80" t="s">
        <v>322</v>
      </c>
      <c r="BX103" s="81" t="s">
        <v>19</v>
      </c>
      <c r="BY103" s="81" t="s">
        <v>19</v>
      </c>
      <c r="BZ103" s="81" t="s">
        <v>19</v>
      </c>
      <c r="CA103" s="81" t="s">
        <v>19</v>
      </c>
      <c r="CB103" s="65"/>
      <c r="CD103" s="65"/>
      <c r="CE103" s="90"/>
      <c r="CF103" s="80" t="s">
        <v>322</v>
      </c>
      <c r="CG103" s="81" t="s">
        <v>19</v>
      </c>
      <c r="CH103" s="81" t="s">
        <v>19</v>
      </c>
      <c r="CI103" s="81" t="s">
        <v>19</v>
      </c>
      <c r="CJ103" s="81" t="s">
        <v>19</v>
      </c>
      <c r="CK103" s="65"/>
      <c r="CM103" s="370"/>
      <c r="CN103" s="386"/>
      <c r="CO103" s="381" t="s">
        <v>322</v>
      </c>
      <c r="CP103" s="382" t="str">
        <f>HLOOKUP($CP$2,D$3:CK$106,101,FALSE)</f>
        <v>x</v>
      </c>
      <c r="CQ103" s="382" t="str">
        <f>HLOOKUP($CQ$2,D$3:CK$106,101,FALSE)</f>
        <v>x</v>
      </c>
      <c r="CR103" s="382" t="str">
        <f>HLOOKUP($CR$2,D$3:CK$106,101,FALSE)</f>
        <v>x</v>
      </c>
      <c r="CS103" s="382" t="str">
        <f>HLOOKUP($CS$2,D$3:CK$106,101,FALSE)</f>
        <v>x</v>
      </c>
      <c r="CT103" s="370"/>
    </row>
    <row r="104" spans="1:98" ht="18" x14ac:dyDescent="0.35">
      <c r="A104" s="65"/>
      <c r="B104" s="90"/>
      <c r="C104" s="80" t="s">
        <v>339</v>
      </c>
      <c r="D104" s="358">
        <f>HLOOKUP($B$1,DGbaseF2V!$A$40:$S$56,17,0)*$B$2</f>
        <v>2.9239342E-7</v>
      </c>
      <c r="E104" s="81"/>
      <c r="F104" s="81"/>
      <c r="G104" s="81">
        <f t="shared" si="192"/>
        <v>2.9239342E-7</v>
      </c>
      <c r="H104" s="65"/>
      <c r="J104" s="65"/>
      <c r="K104" s="90"/>
      <c r="L104" s="80" t="s">
        <v>339</v>
      </c>
      <c r="M104" s="358">
        <f>HLOOKUP(K$1,DGbaseF2V!$A$40:$S$56,17,0)*K$2</f>
        <v>2.8110290000000003E-7</v>
      </c>
      <c r="N104" s="81"/>
      <c r="O104" s="81"/>
      <c r="P104" s="81">
        <f t="shared" si="193"/>
        <v>2.8110290000000003E-7</v>
      </c>
      <c r="Q104" s="65"/>
      <c r="S104" s="65"/>
      <c r="T104" s="90"/>
      <c r="U104" s="80" t="s">
        <v>339</v>
      </c>
      <c r="V104" s="358">
        <f>HLOOKUP(T$1,DGbaseF2V!$A$40:$S$56,17,0)*T$2</f>
        <v>4.0003431908E-7</v>
      </c>
      <c r="W104" s="81"/>
      <c r="X104" s="81"/>
      <c r="Y104" s="81">
        <f t="shared" ref="Y104" si="210">V104+W104+X104</f>
        <v>4.0003431908E-7</v>
      </c>
      <c r="Z104" s="65"/>
      <c r="AB104" s="65"/>
      <c r="AC104" s="90"/>
      <c r="AD104" s="80" t="s">
        <v>339</v>
      </c>
      <c r="AE104" s="358">
        <f>HLOOKUP(AC$1,DGbaseF2V!$A$40:$S$56,17,0)*AC$2</f>
        <v>3.2730080652000002E-7</v>
      </c>
      <c r="AF104" s="81"/>
      <c r="AG104" s="81"/>
      <c r="AH104" s="81">
        <f t="shared" ref="AH104" si="211">AE104+AF104+AG104</f>
        <v>3.2730080652000002E-7</v>
      </c>
      <c r="AI104" s="65"/>
      <c r="AK104" s="65"/>
      <c r="AL104" s="90"/>
      <c r="AM104" s="80" t="s">
        <v>339</v>
      </c>
      <c r="AN104" s="358">
        <f>HLOOKUP(AL$1,DGbaseF2V!$A$40:$S$56,17,0)*AL$2</f>
        <v>2.4853440700000001E-6</v>
      </c>
      <c r="AO104" s="81"/>
      <c r="AP104" s="81"/>
      <c r="AQ104" s="81">
        <f t="shared" ref="AQ104" si="212">AN104+AO104+AP104</f>
        <v>2.4853440700000001E-6</v>
      </c>
      <c r="AR104" s="65"/>
      <c r="AT104" s="65"/>
      <c r="AU104" s="90"/>
      <c r="AV104" s="80" t="s">
        <v>339</v>
      </c>
      <c r="AW104" s="358">
        <f>HLOOKUP(AU$1,DGbaseF2V!$A$40:$S$56,17,0)*AU$2</f>
        <v>4.2165434999999997E-7</v>
      </c>
      <c r="AX104" s="81"/>
      <c r="AY104" s="81"/>
      <c r="AZ104" s="81">
        <f t="shared" ref="AZ104" si="213">AW104+AX104+AY104</f>
        <v>4.2165434999999997E-7</v>
      </c>
      <c r="BA104" s="65"/>
      <c r="BC104" s="65"/>
      <c r="BD104" s="90"/>
      <c r="BE104" s="80" t="s">
        <v>339</v>
      </c>
      <c r="BF104" s="358">
        <f>HLOOKUP(BD$1,DGbaseF2V!$A$40:$S$56,17,0)*BD$2</f>
        <v>2.1986103480000001E-8</v>
      </c>
      <c r="BG104" s="81"/>
      <c r="BH104" s="81"/>
      <c r="BI104" s="81">
        <f t="shared" ref="BI104" si="214">BF104+BG104+BH104</f>
        <v>2.1986103480000001E-8</v>
      </c>
      <c r="BJ104" s="65"/>
      <c r="BL104" s="65"/>
      <c r="BM104" s="90"/>
      <c r="BN104" s="80" t="s">
        <v>339</v>
      </c>
      <c r="BO104" s="358">
        <f>HLOOKUP(BM$1,DGbaseF2V!$A$40:$S$56,17,0)*BM$2</f>
        <v>6.6624556E-9</v>
      </c>
      <c r="BP104" s="81"/>
      <c r="BQ104" s="81"/>
      <c r="BR104" s="81">
        <f t="shared" ref="BR104" si="215">BO104+BP104+BQ104</f>
        <v>6.6624556E-9</v>
      </c>
      <c r="BS104" s="65"/>
      <c r="BU104" s="65"/>
      <c r="BV104" s="90"/>
      <c r="BW104" s="80" t="s">
        <v>339</v>
      </c>
      <c r="BX104" s="358">
        <f>HLOOKUP(BV$1,DGbaseF2V!$A$40:$S$56,17,0)*BV$2</f>
        <v>2.8110290000000003E-7</v>
      </c>
      <c r="BY104" s="81"/>
      <c r="BZ104" s="81"/>
      <c r="CA104" s="81">
        <f t="shared" ref="CA104" si="216">BX104+BY104+BZ104</f>
        <v>2.8110290000000003E-7</v>
      </c>
      <c r="CB104" s="65"/>
      <c r="CD104" s="65"/>
      <c r="CE104" s="90"/>
      <c r="CF104" s="80" t="s">
        <v>339</v>
      </c>
      <c r="CG104" s="358">
        <f>HLOOKUP(CE$1,DGbaseF2V!$A$40:$S$56,17,0)*CE$2</f>
        <v>2.4853440700000001E-7</v>
      </c>
      <c r="CH104" s="81"/>
      <c r="CI104" s="81"/>
      <c r="CJ104" s="81">
        <f t="shared" ref="CJ104" si="217">CG104+CH104+CI104</f>
        <v>2.4853440700000001E-7</v>
      </c>
      <c r="CK104" s="65"/>
      <c r="CM104" s="370"/>
      <c r="CN104" s="386"/>
      <c r="CO104" s="381" t="s">
        <v>339</v>
      </c>
      <c r="CP104" s="382">
        <f>HLOOKUP($CP$2,D$3:CK$106,102,FALSE)</f>
        <v>2.8110290000000003E-7</v>
      </c>
      <c r="CQ104" s="382">
        <f>HLOOKUP($CQ$2,D$3:CK$106,102,FALSE)</f>
        <v>0</v>
      </c>
      <c r="CR104" s="382">
        <f>HLOOKUP($CR$2,D$3:CK$106,102,FALSE)</f>
        <v>0</v>
      </c>
      <c r="CS104" s="382">
        <f>HLOOKUP($CS$2,D$3:CK$106,102,FALSE)</f>
        <v>2.8110290000000003E-7</v>
      </c>
      <c r="CT104" s="370"/>
    </row>
    <row r="105" spans="1:98" ht="18" x14ac:dyDescent="0.35">
      <c r="A105" s="65"/>
      <c r="B105" s="90"/>
      <c r="C105" s="85" t="s">
        <v>340</v>
      </c>
      <c r="D105" s="86"/>
      <c r="E105" s="86"/>
      <c r="F105" s="86"/>
      <c r="G105" s="86"/>
      <c r="H105" s="89" t="s">
        <v>341</v>
      </c>
      <c r="J105" s="65"/>
      <c r="K105" s="90"/>
      <c r="L105" s="85" t="s">
        <v>340</v>
      </c>
      <c r="M105" s="86"/>
      <c r="N105" s="86"/>
      <c r="O105" s="86"/>
      <c r="P105" s="86"/>
      <c r="Q105" s="89" t="s">
        <v>341</v>
      </c>
      <c r="S105" s="65"/>
      <c r="T105" s="90"/>
      <c r="U105" s="85" t="s">
        <v>340</v>
      </c>
      <c r="V105" s="86"/>
      <c r="W105" s="86"/>
      <c r="X105" s="86"/>
      <c r="Y105" s="86"/>
      <c r="Z105" s="89" t="s">
        <v>341</v>
      </c>
      <c r="AB105" s="65"/>
      <c r="AC105" s="90"/>
      <c r="AD105" s="85" t="s">
        <v>340</v>
      </c>
      <c r="AE105" s="86"/>
      <c r="AF105" s="86"/>
      <c r="AG105" s="86"/>
      <c r="AH105" s="86"/>
      <c r="AI105" s="89" t="s">
        <v>341</v>
      </c>
      <c r="AK105" s="65"/>
      <c r="AL105" s="90"/>
      <c r="AM105" s="85" t="s">
        <v>340</v>
      </c>
      <c r="AN105" s="86"/>
      <c r="AO105" s="86"/>
      <c r="AP105" s="86"/>
      <c r="AQ105" s="86"/>
      <c r="AR105" s="89" t="s">
        <v>341</v>
      </c>
      <c r="AT105" s="65"/>
      <c r="AU105" s="90"/>
      <c r="AV105" s="85" t="s">
        <v>340</v>
      </c>
      <c r="AW105" s="86"/>
      <c r="AX105" s="86"/>
      <c r="AY105" s="86"/>
      <c r="AZ105" s="86"/>
      <c r="BA105" s="89" t="s">
        <v>341</v>
      </c>
      <c r="BC105" s="65"/>
      <c r="BD105" s="90"/>
      <c r="BE105" s="85" t="s">
        <v>340</v>
      </c>
      <c r="BF105" s="86"/>
      <c r="BG105" s="86"/>
      <c r="BH105" s="86"/>
      <c r="BI105" s="86"/>
      <c r="BJ105" s="89" t="s">
        <v>341</v>
      </c>
      <c r="BL105" s="65"/>
      <c r="BM105" s="90"/>
      <c r="BN105" s="85" t="s">
        <v>340</v>
      </c>
      <c r="BO105" s="86"/>
      <c r="BP105" s="86"/>
      <c r="BQ105" s="86"/>
      <c r="BR105" s="86"/>
      <c r="BS105" s="89" t="s">
        <v>341</v>
      </c>
      <c r="BU105" s="65"/>
      <c r="BV105" s="90"/>
      <c r="BW105" s="85" t="s">
        <v>340</v>
      </c>
      <c r="BX105" s="86"/>
      <c r="BY105" s="86"/>
      <c r="BZ105" s="86"/>
      <c r="CA105" s="86"/>
      <c r="CB105" s="89" t="s">
        <v>341</v>
      </c>
      <c r="CD105" s="65"/>
      <c r="CE105" s="90"/>
      <c r="CF105" s="85" t="s">
        <v>340</v>
      </c>
      <c r="CG105" s="86"/>
      <c r="CH105" s="86"/>
      <c r="CI105" s="86"/>
      <c r="CJ105" s="86"/>
      <c r="CK105" s="89" t="s">
        <v>341</v>
      </c>
      <c r="CM105" s="370"/>
      <c r="CN105" s="386"/>
      <c r="CO105" s="383" t="s">
        <v>340</v>
      </c>
      <c r="CP105" s="384"/>
      <c r="CQ105" s="384"/>
      <c r="CR105" s="384"/>
      <c r="CS105" s="384"/>
      <c r="CT105" s="385" t="s">
        <v>341</v>
      </c>
    </row>
    <row r="106" spans="1:98" ht="18" x14ac:dyDescent="0.35">
      <c r="A106" s="65"/>
      <c r="B106" s="90"/>
      <c r="C106" s="114"/>
      <c r="D106" s="92"/>
      <c r="E106" s="92"/>
      <c r="F106" s="92"/>
      <c r="G106" s="92"/>
      <c r="H106" s="65"/>
      <c r="J106" s="65"/>
      <c r="K106" s="90"/>
      <c r="L106" s="114"/>
      <c r="M106" s="92"/>
      <c r="N106" s="92"/>
      <c r="O106" s="92"/>
      <c r="P106" s="92"/>
      <c r="Q106" s="65"/>
      <c r="S106" s="65"/>
      <c r="T106" s="90"/>
      <c r="U106" s="114"/>
      <c r="V106" s="92"/>
      <c r="W106" s="92"/>
      <c r="X106" s="92"/>
      <c r="Y106" s="92"/>
      <c r="Z106" s="65"/>
      <c r="AB106" s="65"/>
      <c r="AC106" s="90"/>
      <c r="AD106" s="114"/>
      <c r="AE106" s="92"/>
      <c r="AF106" s="92"/>
      <c r="AG106" s="92"/>
      <c r="AH106" s="92"/>
      <c r="AI106" s="65"/>
      <c r="AK106" s="65"/>
      <c r="AL106" s="90"/>
      <c r="AM106" s="114"/>
      <c r="AN106" s="92"/>
      <c r="AO106" s="92"/>
      <c r="AP106" s="92"/>
      <c r="AQ106" s="92"/>
      <c r="AR106" s="65"/>
      <c r="AT106" s="65"/>
      <c r="AU106" s="90"/>
      <c r="AV106" s="114"/>
      <c r="AW106" s="92"/>
      <c r="AX106" s="92"/>
      <c r="AY106" s="92"/>
      <c r="AZ106" s="92"/>
      <c r="BA106" s="65"/>
      <c r="BC106" s="65"/>
      <c r="BD106" s="90"/>
      <c r="BE106" s="114"/>
      <c r="BF106" s="92"/>
      <c r="BG106" s="92"/>
      <c r="BH106" s="92"/>
      <c r="BI106" s="92"/>
      <c r="BJ106" s="65"/>
      <c r="BL106" s="65"/>
      <c r="BM106" s="90"/>
      <c r="BN106" s="114"/>
      <c r="BO106" s="92"/>
      <c r="BP106" s="92"/>
      <c r="BQ106" s="92"/>
      <c r="BR106" s="92"/>
      <c r="BS106" s="65"/>
      <c r="BU106" s="65"/>
      <c r="BV106" s="90"/>
      <c r="BW106" s="114"/>
      <c r="BX106" s="92"/>
      <c r="BY106" s="92"/>
      <c r="BZ106" s="92"/>
      <c r="CA106" s="92"/>
      <c r="CB106" s="65"/>
      <c r="CD106" s="65"/>
      <c r="CE106" s="90"/>
      <c r="CF106" s="114"/>
      <c r="CG106" s="92"/>
      <c r="CH106" s="92"/>
      <c r="CI106" s="92"/>
      <c r="CJ106" s="92"/>
      <c r="CK106" s="65"/>
      <c r="CM106" s="370"/>
      <c r="CN106" s="386"/>
      <c r="CO106" s="392"/>
      <c r="CP106" s="388"/>
      <c r="CQ106" s="388"/>
      <c r="CR106" s="388"/>
      <c r="CS106" s="388"/>
      <c r="CT106" s="370"/>
    </row>
  </sheetData>
  <mergeCells count="11">
    <mergeCell ref="CM18:CM19"/>
    <mergeCell ref="A18:A19"/>
    <mergeCell ref="J18:J19"/>
    <mergeCell ref="S18:S19"/>
    <mergeCell ref="AB18:AB19"/>
    <mergeCell ref="AK18:AK19"/>
    <mergeCell ref="AT18:AT19"/>
    <mergeCell ref="BC18:BC19"/>
    <mergeCell ref="BL18:BL19"/>
    <mergeCell ref="BU18:BU19"/>
    <mergeCell ref="CD18:CD19"/>
  </mergeCells>
  <conditionalFormatting sqref="D1:G1 C1:C3">
    <cfRule type="containsText" dxfId="109" priority="104" operator="containsText" text="G">
      <formula>NOT(ISERROR(SEARCH("G",C1)))</formula>
    </cfRule>
    <cfRule type="containsText" dxfId="108" priority="109" operator="containsText" text="A">
      <formula>NOT(ISERROR(SEARCH("A",C1)))</formula>
    </cfRule>
    <cfRule type="containsText" dxfId="107" priority="108" operator="containsText" text="B">
      <formula>NOT(ISERROR(SEARCH("B",C1)))</formula>
    </cfRule>
    <cfRule type="containsText" dxfId="106" priority="107" operator="containsText" text="C">
      <formula>NOT(ISERROR(SEARCH("C",C1)))</formula>
    </cfRule>
    <cfRule type="containsText" dxfId="105" priority="106" operator="containsText" text="D">
      <formula>NOT(ISERROR(SEARCH("D",C1)))</formula>
    </cfRule>
    <cfRule type="containsText" dxfId="104" priority="105" operator="containsText" text="F">
      <formula>NOT(ISERROR(SEARCH("F",C1)))</formula>
    </cfRule>
    <cfRule type="containsText" dxfId="103" priority="103" operator="containsText" text="H">
      <formula>NOT(ISERROR(SEARCH("H",C1)))</formula>
    </cfRule>
    <cfRule type="containsText" dxfId="102" priority="102" operator="containsText" text="I">
      <formula>NOT(ISERROR(SEARCH("I",C1)))</formula>
    </cfRule>
    <cfRule type="containsText" dxfId="101" priority="101" operator="containsText" text="J">
      <formula>NOT(ISERROR(SEARCH("J",C1)))</formula>
    </cfRule>
    <cfRule type="containsText" dxfId="100" priority="110" operator="containsText" text="E">
      <formula>NOT(ISERROR(SEARCH("E",C1)))</formula>
    </cfRule>
  </conditionalFormatting>
  <conditionalFormatting sqref="M1:P1 L1:L3">
    <cfRule type="containsText" dxfId="99" priority="98" operator="containsText" text="B">
      <formula>NOT(ISERROR(SEARCH("B",L1)))</formula>
    </cfRule>
    <cfRule type="containsText" dxfId="98" priority="100" operator="containsText" text="E">
      <formula>NOT(ISERROR(SEARCH("E",L1)))</formula>
    </cfRule>
    <cfRule type="containsText" dxfId="97" priority="99" operator="containsText" text="A">
      <formula>NOT(ISERROR(SEARCH("A",L1)))</formula>
    </cfRule>
    <cfRule type="containsText" dxfId="96" priority="91" operator="containsText" text="J">
      <formula>NOT(ISERROR(SEARCH("J",L1)))</formula>
    </cfRule>
    <cfRule type="containsText" dxfId="95" priority="97" operator="containsText" text="C">
      <formula>NOT(ISERROR(SEARCH("C",L1)))</formula>
    </cfRule>
    <cfRule type="containsText" dxfId="94" priority="96" operator="containsText" text="D">
      <formula>NOT(ISERROR(SEARCH("D",L1)))</formula>
    </cfRule>
    <cfRule type="containsText" dxfId="93" priority="95" operator="containsText" text="F">
      <formula>NOT(ISERROR(SEARCH("F",L1)))</formula>
    </cfRule>
    <cfRule type="containsText" dxfId="92" priority="94" operator="containsText" text="G">
      <formula>NOT(ISERROR(SEARCH("G",L1)))</formula>
    </cfRule>
    <cfRule type="containsText" dxfId="91" priority="93" operator="containsText" text="H">
      <formula>NOT(ISERROR(SEARCH("H",L1)))</formula>
    </cfRule>
    <cfRule type="containsText" dxfId="90" priority="92" operator="containsText" text="I">
      <formula>NOT(ISERROR(SEARCH("I",L1)))</formula>
    </cfRule>
  </conditionalFormatting>
  <conditionalFormatting sqref="V1:Y1 U1:U3">
    <cfRule type="containsText" dxfId="89" priority="90" operator="containsText" text="E">
      <formula>NOT(ISERROR(SEARCH("E",U1)))</formula>
    </cfRule>
    <cfRule type="containsText" dxfId="88" priority="89" operator="containsText" text="A">
      <formula>NOT(ISERROR(SEARCH("A",U1)))</formula>
    </cfRule>
    <cfRule type="containsText" dxfId="87" priority="88" operator="containsText" text="B">
      <formula>NOT(ISERROR(SEARCH("B",U1)))</formula>
    </cfRule>
    <cfRule type="containsText" dxfId="86" priority="87" operator="containsText" text="C">
      <formula>NOT(ISERROR(SEARCH("C",U1)))</formula>
    </cfRule>
    <cfRule type="containsText" dxfId="85" priority="86" operator="containsText" text="D">
      <formula>NOT(ISERROR(SEARCH("D",U1)))</formula>
    </cfRule>
    <cfRule type="containsText" dxfId="84" priority="85" operator="containsText" text="F">
      <formula>NOT(ISERROR(SEARCH("F",U1)))</formula>
    </cfRule>
    <cfRule type="containsText" dxfId="83" priority="84" operator="containsText" text="G">
      <formula>NOT(ISERROR(SEARCH("G",U1)))</formula>
    </cfRule>
    <cfRule type="containsText" dxfId="82" priority="83" operator="containsText" text="H">
      <formula>NOT(ISERROR(SEARCH("H",U1)))</formula>
    </cfRule>
    <cfRule type="containsText" dxfId="81" priority="82" operator="containsText" text="I">
      <formula>NOT(ISERROR(SEARCH("I",U1)))</formula>
    </cfRule>
    <cfRule type="containsText" dxfId="80" priority="81" operator="containsText" text="J">
      <formula>NOT(ISERROR(SEARCH("J",U1)))</formula>
    </cfRule>
  </conditionalFormatting>
  <conditionalFormatting sqref="AE1:AH1 AD1:AD3">
    <cfRule type="containsText" dxfId="79" priority="80" operator="containsText" text="E">
      <formula>NOT(ISERROR(SEARCH("E",AD1)))</formula>
    </cfRule>
    <cfRule type="containsText" dxfId="78" priority="79" operator="containsText" text="A">
      <formula>NOT(ISERROR(SEARCH("A",AD1)))</formula>
    </cfRule>
    <cfRule type="containsText" dxfId="77" priority="78" operator="containsText" text="B">
      <formula>NOT(ISERROR(SEARCH("B",AD1)))</formula>
    </cfRule>
    <cfRule type="containsText" dxfId="76" priority="77" operator="containsText" text="C">
      <formula>NOT(ISERROR(SEARCH("C",AD1)))</formula>
    </cfRule>
    <cfRule type="containsText" dxfId="75" priority="76" operator="containsText" text="D">
      <formula>NOT(ISERROR(SEARCH("D",AD1)))</formula>
    </cfRule>
    <cfRule type="containsText" dxfId="74" priority="75" operator="containsText" text="F">
      <formula>NOT(ISERROR(SEARCH("F",AD1)))</formula>
    </cfRule>
    <cfRule type="containsText" dxfId="73" priority="74" operator="containsText" text="G">
      <formula>NOT(ISERROR(SEARCH("G",AD1)))</formula>
    </cfRule>
    <cfRule type="containsText" dxfId="72" priority="73" operator="containsText" text="H">
      <formula>NOT(ISERROR(SEARCH("H",AD1)))</formula>
    </cfRule>
    <cfRule type="containsText" dxfId="71" priority="72" operator="containsText" text="I">
      <formula>NOT(ISERROR(SEARCH("I",AD1)))</formula>
    </cfRule>
    <cfRule type="containsText" dxfId="70" priority="71" operator="containsText" text="J">
      <formula>NOT(ISERROR(SEARCH("J",AD1)))</formula>
    </cfRule>
  </conditionalFormatting>
  <conditionalFormatting sqref="AN1:AQ1 AM1:AM3">
    <cfRule type="containsText" dxfId="69" priority="70" operator="containsText" text="E">
      <formula>NOT(ISERROR(SEARCH("E",AM1)))</formula>
    </cfRule>
    <cfRule type="containsText" dxfId="68" priority="68" operator="containsText" text="B">
      <formula>NOT(ISERROR(SEARCH("B",AM1)))</formula>
    </cfRule>
    <cfRule type="containsText" dxfId="67" priority="69" operator="containsText" text="A">
      <formula>NOT(ISERROR(SEARCH("A",AM1)))</formula>
    </cfRule>
    <cfRule type="containsText" dxfId="66" priority="67" operator="containsText" text="C">
      <formula>NOT(ISERROR(SEARCH("C",AM1)))</formula>
    </cfRule>
    <cfRule type="containsText" dxfId="65" priority="66" operator="containsText" text="D">
      <formula>NOT(ISERROR(SEARCH("D",AM1)))</formula>
    </cfRule>
    <cfRule type="containsText" dxfId="64" priority="65" operator="containsText" text="F">
      <formula>NOT(ISERROR(SEARCH("F",AM1)))</formula>
    </cfRule>
    <cfRule type="containsText" dxfId="63" priority="64" operator="containsText" text="G">
      <formula>NOT(ISERROR(SEARCH("G",AM1)))</formula>
    </cfRule>
    <cfRule type="containsText" dxfId="62" priority="63" operator="containsText" text="H">
      <formula>NOT(ISERROR(SEARCH("H",AM1)))</formula>
    </cfRule>
    <cfRule type="containsText" dxfId="61" priority="62" operator="containsText" text="I">
      <formula>NOT(ISERROR(SEARCH("I",AM1)))</formula>
    </cfRule>
    <cfRule type="containsText" dxfId="60" priority="61" operator="containsText" text="J">
      <formula>NOT(ISERROR(SEARCH("J",AM1)))</formula>
    </cfRule>
  </conditionalFormatting>
  <conditionalFormatting sqref="AW1:AZ1 AV1:AV3">
    <cfRule type="containsText" dxfId="59" priority="51" operator="containsText" text="J">
      <formula>NOT(ISERROR(SEARCH("J",AV1)))</formula>
    </cfRule>
    <cfRule type="containsText" dxfId="58" priority="52" operator="containsText" text="I">
      <formula>NOT(ISERROR(SEARCH("I",AV1)))</formula>
    </cfRule>
    <cfRule type="containsText" dxfId="57" priority="53" operator="containsText" text="H">
      <formula>NOT(ISERROR(SEARCH("H",AV1)))</formula>
    </cfRule>
    <cfRule type="containsText" dxfId="56" priority="54" operator="containsText" text="G">
      <formula>NOT(ISERROR(SEARCH("G",AV1)))</formula>
    </cfRule>
    <cfRule type="containsText" dxfId="55" priority="55" operator="containsText" text="F">
      <formula>NOT(ISERROR(SEARCH("F",AV1)))</formula>
    </cfRule>
    <cfRule type="containsText" dxfId="54" priority="56" operator="containsText" text="D">
      <formula>NOT(ISERROR(SEARCH("D",AV1)))</formula>
    </cfRule>
    <cfRule type="containsText" dxfId="53" priority="57" operator="containsText" text="C">
      <formula>NOT(ISERROR(SEARCH("C",AV1)))</formula>
    </cfRule>
    <cfRule type="containsText" dxfId="52" priority="58" operator="containsText" text="B">
      <formula>NOT(ISERROR(SEARCH("B",AV1)))</formula>
    </cfRule>
    <cfRule type="containsText" dxfId="51" priority="59" operator="containsText" text="A">
      <formula>NOT(ISERROR(SEARCH("A",AV1)))</formula>
    </cfRule>
    <cfRule type="containsText" dxfId="50" priority="60" operator="containsText" text="E">
      <formula>NOT(ISERROR(SEARCH("E",AV1)))</formula>
    </cfRule>
  </conditionalFormatting>
  <conditionalFormatting sqref="BF1:BI1 BE1:BE3">
    <cfRule type="containsText" dxfId="49" priority="50" operator="containsText" text="E">
      <formula>NOT(ISERROR(SEARCH("E",BE1)))</formula>
    </cfRule>
    <cfRule type="containsText" dxfId="48" priority="49" operator="containsText" text="A">
      <formula>NOT(ISERROR(SEARCH("A",BE1)))</formula>
    </cfRule>
    <cfRule type="containsText" dxfId="47" priority="48" operator="containsText" text="B">
      <formula>NOT(ISERROR(SEARCH("B",BE1)))</formula>
    </cfRule>
    <cfRule type="containsText" dxfId="46" priority="47" operator="containsText" text="C">
      <formula>NOT(ISERROR(SEARCH("C",BE1)))</formula>
    </cfRule>
    <cfRule type="containsText" dxfId="45" priority="46" operator="containsText" text="D">
      <formula>NOT(ISERROR(SEARCH("D",BE1)))</formula>
    </cfRule>
    <cfRule type="containsText" dxfId="44" priority="45" operator="containsText" text="F">
      <formula>NOT(ISERROR(SEARCH("F",BE1)))</formula>
    </cfRule>
    <cfRule type="containsText" dxfId="43" priority="44" operator="containsText" text="G">
      <formula>NOT(ISERROR(SEARCH("G",BE1)))</formula>
    </cfRule>
    <cfRule type="containsText" dxfId="42" priority="42" operator="containsText" text="I">
      <formula>NOT(ISERROR(SEARCH("I",BE1)))</formula>
    </cfRule>
    <cfRule type="containsText" dxfId="41" priority="43" operator="containsText" text="H">
      <formula>NOT(ISERROR(SEARCH("H",BE1)))</formula>
    </cfRule>
    <cfRule type="containsText" dxfId="40" priority="41" operator="containsText" text="J">
      <formula>NOT(ISERROR(SEARCH("J",BE1)))</formula>
    </cfRule>
  </conditionalFormatting>
  <conditionalFormatting sqref="BO1:BR1 BN1:BN3">
    <cfRule type="containsText" dxfId="39" priority="40" operator="containsText" text="E">
      <formula>NOT(ISERROR(SEARCH("E",BN1)))</formula>
    </cfRule>
    <cfRule type="containsText" dxfId="38" priority="39" operator="containsText" text="A">
      <formula>NOT(ISERROR(SEARCH("A",BN1)))</formula>
    </cfRule>
    <cfRule type="containsText" dxfId="37" priority="38" operator="containsText" text="B">
      <formula>NOT(ISERROR(SEARCH("B",BN1)))</formula>
    </cfRule>
    <cfRule type="containsText" dxfId="36" priority="37" operator="containsText" text="C">
      <formula>NOT(ISERROR(SEARCH("C",BN1)))</formula>
    </cfRule>
    <cfRule type="containsText" dxfId="35" priority="36" operator="containsText" text="D">
      <formula>NOT(ISERROR(SEARCH("D",BN1)))</formula>
    </cfRule>
    <cfRule type="containsText" dxfId="34" priority="35" operator="containsText" text="F">
      <formula>NOT(ISERROR(SEARCH("F",BN1)))</formula>
    </cfRule>
    <cfRule type="containsText" dxfId="33" priority="34" operator="containsText" text="G">
      <formula>NOT(ISERROR(SEARCH("G",BN1)))</formula>
    </cfRule>
    <cfRule type="containsText" dxfId="32" priority="33" operator="containsText" text="H">
      <formula>NOT(ISERROR(SEARCH("H",BN1)))</formula>
    </cfRule>
    <cfRule type="containsText" dxfId="31" priority="32" operator="containsText" text="I">
      <formula>NOT(ISERROR(SEARCH("I",BN1)))</formula>
    </cfRule>
    <cfRule type="containsText" dxfId="30" priority="31" operator="containsText" text="J">
      <formula>NOT(ISERROR(SEARCH("J",BN1)))</formula>
    </cfRule>
  </conditionalFormatting>
  <conditionalFormatting sqref="BX1:CA1 BW1:BW3">
    <cfRule type="containsText" dxfId="29" priority="30" operator="containsText" text="E">
      <formula>NOT(ISERROR(SEARCH("E",BW1)))</formula>
    </cfRule>
    <cfRule type="containsText" dxfId="28" priority="29" operator="containsText" text="A">
      <formula>NOT(ISERROR(SEARCH("A",BW1)))</formula>
    </cfRule>
    <cfRule type="containsText" dxfId="27" priority="28" operator="containsText" text="B">
      <formula>NOT(ISERROR(SEARCH("B",BW1)))</formula>
    </cfRule>
    <cfRule type="containsText" dxfId="26" priority="27" operator="containsText" text="C">
      <formula>NOT(ISERROR(SEARCH("C",BW1)))</formula>
    </cfRule>
    <cfRule type="containsText" dxfId="25" priority="26" operator="containsText" text="D">
      <formula>NOT(ISERROR(SEARCH("D",BW1)))</formula>
    </cfRule>
    <cfRule type="containsText" dxfId="24" priority="25" operator="containsText" text="F">
      <formula>NOT(ISERROR(SEARCH("F",BW1)))</formula>
    </cfRule>
    <cfRule type="containsText" dxfId="23" priority="24" operator="containsText" text="G">
      <formula>NOT(ISERROR(SEARCH("G",BW1)))</formula>
    </cfRule>
    <cfRule type="containsText" dxfId="22" priority="23" operator="containsText" text="H">
      <formula>NOT(ISERROR(SEARCH("H",BW1)))</formula>
    </cfRule>
    <cfRule type="containsText" dxfId="21" priority="22" operator="containsText" text="I">
      <formula>NOT(ISERROR(SEARCH("I",BW1)))</formula>
    </cfRule>
    <cfRule type="containsText" dxfId="20" priority="21" operator="containsText" text="J">
      <formula>NOT(ISERROR(SEARCH("J",BW1)))</formula>
    </cfRule>
  </conditionalFormatting>
  <conditionalFormatting sqref="CG1:CJ1 CF1:CF3">
    <cfRule type="containsText" dxfId="19" priority="19" operator="containsText" text="A">
      <formula>NOT(ISERROR(SEARCH("A",CF1)))</formula>
    </cfRule>
    <cfRule type="containsText" dxfId="18" priority="18" operator="containsText" text="B">
      <formula>NOT(ISERROR(SEARCH("B",CF1)))</formula>
    </cfRule>
    <cfRule type="containsText" dxfId="17" priority="17" operator="containsText" text="C">
      <formula>NOT(ISERROR(SEARCH("C",CF1)))</formula>
    </cfRule>
    <cfRule type="containsText" dxfId="16" priority="16" operator="containsText" text="D">
      <formula>NOT(ISERROR(SEARCH("D",CF1)))</formula>
    </cfRule>
    <cfRule type="containsText" dxfId="15" priority="15" operator="containsText" text="F">
      <formula>NOT(ISERROR(SEARCH("F",CF1)))</formula>
    </cfRule>
    <cfRule type="containsText" dxfId="14" priority="14" operator="containsText" text="G">
      <formula>NOT(ISERROR(SEARCH("G",CF1)))</formula>
    </cfRule>
    <cfRule type="containsText" dxfId="13" priority="20" operator="containsText" text="E">
      <formula>NOT(ISERROR(SEARCH("E",CF1)))</formula>
    </cfRule>
    <cfRule type="containsText" dxfId="12" priority="12" operator="containsText" text="I">
      <formula>NOT(ISERROR(SEARCH("I",CF1)))</formula>
    </cfRule>
    <cfRule type="containsText" dxfId="11" priority="11" operator="containsText" text="J">
      <formula>NOT(ISERROR(SEARCH("J",CF1)))</formula>
    </cfRule>
    <cfRule type="containsText" dxfId="10" priority="13" operator="containsText" text="H">
      <formula>NOT(ISERROR(SEARCH("H",CF1)))</formula>
    </cfRule>
  </conditionalFormatting>
  <conditionalFormatting sqref="CP1:CS1 CO1:CO3">
    <cfRule type="containsText" dxfId="9" priority="1" operator="containsText" text="J">
      <formula>NOT(ISERROR(SEARCH("J",CO1)))</formula>
    </cfRule>
    <cfRule type="containsText" dxfId="8" priority="10" operator="containsText" text="E">
      <formula>NOT(ISERROR(SEARCH("E",CO1)))</formula>
    </cfRule>
    <cfRule type="containsText" dxfId="7" priority="9" operator="containsText" text="A">
      <formula>NOT(ISERROR(SEARCH("A",CO1)))</formula>
    </cfRule>
    <cfRule type="containsText" dxfId="6" priority="8" operator="containsText" text="B">
      <formula>NOT(ISERROR(SEARCH("B",CO1)))</formula>
    </cfRule>
    <cfRule type="containsText" dxfId="5" priority="6" operator="containsText" text="D">
      <formula>NOT(ISERROR(SEARCH("D",CO1)))</formula>
    </cfRule>
    <cfRule type="containsText" dxfId="4" priority="5" operator="containsText" text="F">
      <formula>NOT(ISERROR(SEARCH("F",CO1)))</formula>
    </cfRule>
    <cfRule type="containsText" dxfId="3" priority="4" operator="containsText" text="G">
      <formula>NOT(ISERROR(SEARCH("G",CO1)))</formula>
    </cfRule>
    <cfRule type="containsText" dxfId="2" priority="3" operator="containsText" text="H">
      <formula>NOT(ISERROR(SEARCH("H",CO1)))</formula>
    </cfRule>
    <cfRule type="containsText" dxfId="1" priority="2" operator="containsText" text="I">
      <formula>NOT(ISERROR(SEARCH("I",CO1)))</formula>
    </cfRule>
    <cfRule type="containsText" dxfId="0" priority="7" operator="containsText" text="C">
      <formula>NOT(ISERROR(SEARCH("C",CO1)))</formula>
    </cfRule>
  </conditionalFormatting>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29EE5FC-EC39-4A34-9E85-15FBAB115B43}">
          <x14:formula1>
            <xm:f>DGliste!$A$2:$A$17</xm:f>
          </x14:formula1>
          <xm:sqref>B1 K1 T1 AC1 AL1 AU1 BD1 BM1 BV1 CE1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3AE46-2EE5-4D90-A121-8C8712E12878}">
  <sheetPr>
    <tabColor theme="9"/>
  </sheetPr>
  <dimension ref="A1:H33"/>
  <sheetViews>
    <sheetView workbookViewId="0">
      <selection activeCell="M24" sqref="M24"/>
    </sheetView>
  </sheetViews>
  <sheetFormatPr defaultColWidth="11.44140625" defaultRowHeight="14.4" x14ac:dyDescent="0.3"/>
  <cols>
    <col min="1" max="1" width="16" customWidth="1"/>
    <col min="2" max="2" width="11.44140625" style="135"/>
    <col min="3" max="5" width="12.44140625" style="2" bestFit="1" customWidth="1"/>
    <col min="6" max="8" width="12.44140625" style="2" customWidth="1"/>
  </cols>
  <sheetData>
    <row r="1" spans="1:8" x14ac:dyDescent="0.3">
      <c r="C1" s="2" t="s">
        <v>394</v>
      </c>
      <c r="D1" s="2" t="s">
        <v>395</v>
      </c>
      <c r="E1" s="2" t="s">
        <v>396</v>
      </c>
      <c r="F1" s="2" t="s">
        <v>397</v>
      </c>
      <c r="H1" s="2" t="s">
        <v>398</v>
      </c>
    </row>
    <row r="3" spans="1:8" x14ac:dyDescent="0.3">
      <c r="A3" t="str">
        <f>DGcalcul!C48</f>
        <v>Climate change</v>
      </c>
      <c r="B3" s="135" t="str">
        <f>DGcalcul!D48</f>
        <v>kg CO2 eq</v>
      </c>
      <c r="C3" s="136">
        <f>DGcalcul!E48</f>
        <v>1.5561049403736666E-2</v>
      </c>
      <c r="D3" s="136">
        <f>DGcalcul!G48</f>
        <v>9.8381455601999996E-4</v>
      </c>
      <c r="E3" s="136">
        <f>DGcalcul!I48</f>
        <v>3.6399575068000035E-4</v>
      </c>
      <c r="F3" s="136">
        <f>DGcalcul!K51+DGcalcul!K52</f>
        <v>2.407602318E-3</v>
      </c>
      <c r="G3" s="136"/>
      <c r="H3" s="136">
        <f>DGcalcul!K48</f>
        <v>1.7029239826336667E-2</v>
      </c>
    </row>
    <row r="4" spans="1:8" x14ac:dyDescent="0.3">
      <c r="B4" s="135" t="s">
        <v>45</v>
      </c>
      <c r="C4" s="137">
        <f>C3/SUM(C3:F3)</f>
        <v>0.80558486232253701</v>
      </c>
      <c r="D4" s="137">
        <f>D3/SUM(C3:F3)</f>
        <v>5.0931405273475061E-2</v>
      </c>
      <c r="E4" s="137">
        <f>E3/SUM(C3:F3)</f>
        <v>1.8843810535497919E-2</v>
      </c>
      <c r="F4" s="137">
        <f>F3/SUM(C3:F3)</f>
        <v>0.12463992186849</v>
      </c>
      <c r="G4" s="138"/>
      <c r="H4" s="138"/>
    </row>
    <row r="5" spans="1:8" x14ac:dyDescent="0.3">
      <c r="B5" s="135" t="s">
        <v>399</v>
      </c>
      <c r="C5" s="138">
        <f>DGcalcul!E58</f>
        <v>1.9454695493779973E-3</v>
      </c>
      <c r="D5" s="138">
        <f>DGcalcul!G58</f>
        <v>1.2299821247994629E-4</v>
      </c>
      <c r="E5" s="138">
        <f>DGcalcul!I58</f>
        <v>4.5507383896672179E-5</v>
      </c>
      <c r="F5" s="138">
        <f>DGcalcul!K58</f>
        <v>0.5</v>
      </c>
      <c r="G5" s="138"/>
      <c r="H5" s="138">
        <f>C4*C5+D4*D5+E4*E5+F4*F5</f>
        <v>6.3894323757661214E-2</v>
      </c>
    </row>
    <row r="6" spans="1:8" x14ac:dyDescent="0.3">
      <c r="C6" s="138"/>
      <c r="D6" s="138"/>
      <c r="E6" s="138"/>
      <c r="F6" s="138"/>
      <c r="G6" s="138"/>
      <c r="H6" s="138"/>
    </row>
    <row r="7" spans="1:8" x14ac:dyDescent="0.3">
      <c r="A7" t="str">
        <f>DGcalcul!C61</f>
        <v>Photochemical ozone formation</v>
      </c>
      <c r="B7" s="135" t="str">
        <f>DGcalcul!D61</f>
        <v>kg NMVOC eq</v>
      </c>
      <c r="C7" s="136">
        <f>DGcalcul!E61</f>
        <v>8.923976664333335E-4</v>
      </c>
      <c r="D7" s="136">
        <f>DGcalcul!G61</f>
        <v>9.2619021450000009E-5</v>
      </c>
      <c r="E7" s="136">
        <f>DGcalcul!I61</f>
        <v>6.0659883030000049E-5</v>
      </c>
      <c r="F7" s="136">
        <f>DGcalcul!K64+DGcalcul!K65</f>
        <v>1.071617976</v>
      </c>
      <c r="G7" s="136"/>
      <c r="H7" s="136">
        <f>DGcalcul!K61</f>
        <v>5.4626575370913331E-2</v>
      </c>
    </row>
    <row r="8" spans="1:8" x14ac:dyDescent="0.3">
      <c r="B8" s="135" t="s">
        <v>45</v>
      </c>
      <c r="C8" s="137">
        <f>C7/SUM(C7:F7)</f>
        <v>8.3194546985392286E-4</v>
      </c>
      <c r="D8" s="137">
        <f>D7/SUM(C7:F7)</f>
        <v>8.6344886608225041E-5</v>
      </c>
      <c r="E8" s="137">
        <f>E7/SUM(C7:F7)</f>
        <v>5.655070243557997E-5</v>
      </c>
      <c r="F8" s="137">
        <f>F7/SUM(C7:F7)</f>
        <v>0.99902515894110233</v>
      </c>
      <c r="G8" s="138"/>
      <c r="H8" s="138"/>
    </row>
    <row r="9" spans="1:8" x14ac:dyDescent="0.3">
      <c r="B9" s="135" t="s">
        <v>399</v>
      </c>
      <c r="C9" s="138">
        <f>DGcalcul!E71</f>
        <v>4.9203389679247696E-3</v>
      </c>
      <c r="D9" s="138">
        <f>DGcalcul!G71</f>
        <v>5.1066581363090038E-4</v>
      </c>
      <c r="E9" s="138">
        <f>DGcalcul!I71</f>
        <v>3.3445536389080713E-4</v>
      </c>
      <c r="F9" s="138">
        <f>DGcalcul!K71</f>
        <v>0.5</v>
      </c>
      <c r="G9" s="138"/>
      <c r="H9" s="138">
        <f>C8*C9+D8*D9+E8*E9+F8*F9</f>
        <v>0.49951673593133322</v>
      </c>
    </row>
    <row r="10" spans="1:8" x14ac:dyDescent="0.3">
      <c r="C10" s="138"/>
      <c r="D10" s="138"/>
      <c r="E10" s="138"/>
      <c r="F10" s="138"/>
      <c r="G10" s="138"/>
      <c r="H10" s="138"/>
    </row>
    <row r="11" spans="1:8" x14ac:dyDescent="0.3">
      <c r="A11" t="str">
        <f>DGcalcul!C74</f>
        <v>Particulate matter</v>
      </c>
      <c r="B11" s="135" t="str">
        <f>DGcalcul!D74</f>
        <v>disease inc.</v>
      </c>
      <c r="C11" s="136">
        <f>DGcalcul!E74</f>
        <v>4.2215101827083335E-10</v>
      </c>
      <c r="D11" s="136">
        <f>DGcalcul!G74</f>
        <v>3.2411147835E-11</v>
      </c>
      <c r="E11" s="136">
        <f>DGcalcul!I74</f>
        <v>1.6389576840000014E-11</v>
      </c>
      <c r="F11" s="136">
        <f>DGcalcul!K77+DGcalcul!K78</f>
        <v>1.4343878340000001E-8</v>
      </c>
      <c r="G11" s="136"/>
      <c r="H11" s="136">
        <f>DGcalcul!K74</f>
        <v>1.1881456599458335E-9</v>
      </c>
    </row>
    <row r="12" spans="1:8" x14ac:dyDescent="0.3">
      <c r="B12" s="135" t="s">
        <v>45</v>
      </c>
      <c r="C12" s="137">
        <f>C11/SUM(C11:F11)</f>
        <v>2.8495164366197801E-2</v>
      </c>
      <c r="D12" s="137">
        <f>D11/SUM(C11:F11)</f>
        <v>2.1877502241696481E-3</v>
      </c>
      <c r="E12" s="137">
        <f>E11/SUM(C11:F11)</f>
        <v>1.1062952965533474E-3</v>
      </c>
      <c r="F12" s="137">
        <f>F11/SUM(C11:F11)</f>
        <v>0.9682107901130792</v>
      </c>
      <c r="G12" s="138"/>
      <c r="H12" s="138"/>
    </row>
    <row r="13" spans="1:8" x14ac:dyDescent="0.3">
      <c r="B13" s="135" t="s">
        <v>399</v>
      </c>
      <c r="C13" s="138">
        <f>DGcalcul!E84</f>
        <v>3.6826428483918011E-4</v>
      </c>
      <c r="D13" s="138">
        <f>DGcalcul!G84</f>
        <v>2.827392961685501E-5</v>
      </c>
      <c r="E13" s="138">
        <f>DGcalcul!I84</f>
        <v>1.4297480125766651E-5</v>
      </c>
      <c r="F13" s="138">
        <f>DGcalcul!K84</f>
        <v>0.5</v>
      </c>
      <c r="G13" s="138"/>
      <c r="H13" s="138">
        <f>C12*C13+D12*D13+E12*E13+F12*F13</f>
        <v>0.48411596648139715</v>
      </c>
    </row>
    <row r="14" spans="1:8" x14ac:dyDescent="0.3">
      <c r="C14" s="138"/>
      <c r="D14" s="138"/>
      <c r="E14" s="138"/>
      <c r="F14" s="138"/>
      <c r="G14" s="138"/>
      <c r="H14" s="138"/>
    </row>
    <row r="15" spans="1:8" x14ac:dyDescent="0.3">
      <c r="A15" t="str">
        <f>DGcalcul!C87</f>
        <v>Acidification</v>
      </c>
      <c r="B15" s="135" t="str">
        <f>DGcalcul!D87</f>
        <v>mol H+ eq</v>
      </c>
      <c r="C15" s="136">
        <f>DGcalcul!E87</f>
        <v>4.5583267048333337E-5</v>
      </c>
      <c r="D15" s="136">
        <f>DGcalcul!G87</f>
        <v>3.679324305E-6</v>
      </c>
      <c r="E15" s="136">
        <f>DGcalcul!I87</f>
        <v>1.8254311100000014E-6</v>
      </c>
      <c r="F15" s="136">
        <f>DGcalcul!K90+DGcalcul!K91</f>
        <v>4.1758867920000005E-3</v>
      </c>
      <c r="G15" s="136"/>
      <c r="H15" s="136">
        <f>DGcalcul!K87</f>
        <v>2.5988236206333338E-4</v>
      </c>
    </row>
    <row r="16" spans="1:8" x14ac:dyDescent="0.3">
      <c r="B16" s="135" t="s">
        <v>45</v>
      </c>
      <c r="C16" s="137">
        <f>C15/SUM(C15:F15)</f>
        <v>1.0783898425976471E-2</v>
      </c>
      <c r="D16" s="137">
        <f>D15/SUM(C15:F15)</f>
        <v>8.7043913590649936E-4</v>
      </c>
      <c r="E16" s="137">
        <f>E15/SUM(C15:F15)</f>
        <v>4.3185284751495783E-4</v>
      </c>
      <c r="F16" s="137">
        <f>F15/SUM(C15:F15)</f>
        <v>0.98791380959060204</v>
      </c>
      <c r="G16" s="138"/>
      <c r="H16" s="138"/>
    </row>
    <row r="17" spans="1:8" x14ac:dyDescent="0.3">
      <c r="B17" s="135" t="s">
        <v>399</v>
      </c>
      <c r="C17" s="138">
        <f>DGcalcul!E97</f>
        <v>9.5921912393527272E-4</v>
      </c>
      <c r="D17" s="138">
        <f>DGcalcul!G97</f>
        <v>7.7424863662660563E-5</v>
      </c>
      <c r="E17" s="138">
        <f>DGcalcul!I97</f>
        <v>3.8412964746071554E-5</v>
      </c>
      <c r="F17" s="138">
        <f>DGcalcul!K97</f>
        <v>0.5</v>
      </c>
      <c r="G17" s="138"/>
      <c r="H17" s="138">
        <f>C16*C17+D16*D17+E16*E17+F16*F17</f>
        <v>0.49396733289928141</v>
      </c>
    </row>
    <row r="18" spans="1:8" x14ac:dyDescent="0.3">
      <c r="C18" s="138"/>
      <c r="D18" s="138"/>
      <c r="E18" s="138"/>
      <c r="F18" s="138"/>
      <c r="G18" s="138"/>
      <c r="H18" s="138"/>
    </row>
    <row r="19" spans="1:8" x14ac:dyDescent="0.3">
      <c r="A19" t="str">
        <f>DGcalcul!C100</f>
        <v>Eutrophication, freshwater</v>
      </c>
      <c r="B19" s="135" t="str">
        <f>DGcalcul!D100</f>
        <v>kg P eq</v>
      </c>
      <c r="C19" s="136">
        <f>DGcalcul!E100</f>
        <v>1.9920494304605709E-6</v>
      </c>
      <c r="D19" s="136">
        <f>DGcalcul!G100</f>
        <v>1.6420686704169004E-7</v>
      </c>
      <c r="E19" s="136">
        <f>DGcalcul!I100</f>
        <v>8.3647485694460059E-8</v>
      </c>
      <c r="F19" s="136">
        <f>DGcalcul!K103+DGcalcul!K104</f>
        <v>1.30864206E-9</v>
      </c>
      <c r="G19" s="136"/>
      <c r="H19" s="136">
        <f>DGcalcul!K100</f>
        <v>2.2399692152997209E-6</v>
      </c>
    </row>
    <row r="20" spans="1:8" x14ac:dyDescent="0.3">
      <c r="B20" s="135" t="s">
        <v>45</v>
      </c>
      <c r="C20" s="137">
        <f>C19/SUM(C19:F19)</f>
        <v>0.88882669398568515</v>
      </c>
      <c r="D20" s="137">
        <f>D19/SUM(C19:F19)</f>
        <v>7.326698049288248E-2</v>
      </c>
      <c r="E20" s="137">
        <f>E19/SUM(C19:F19)</f>
        <v>3.7322426358080987E-2</v>
      </c>
      <c r="F20" s="137">
        <f>F19/SUM(C19:F19)</f>
        <v>5.8389916335132794E-4</v>
      </c>
      <c r="G20" s="138"/>
      <c r="H20" s="138"/>
    </row>
    <row r="21" spans="1:8" x14ac:dyDescent="0.3">
      <c r="B21" s="135" t="s">
        <v>399</v>
      </c>
      <c r="C21" s="138">
        <f>DGcalcul!E110</f>
        <v>7.9574211127625503E-4</v>
      </c>
      <c r="D21" s="138">
        <f>DGcalcul!G110</f>
        <v>6.5593914020297715E-5</v>
      </c>
      <c r="E21" s="138">
        <f>DGcalcul!I110</f>
        <v>3.3413742576694288E-5</v>
      </c>
      <c r="F21" s="138">
        <f>DGcalcul!K110</f>
        <v>0.5</v>
      </c>
      <c r="G21" s="138"/>
      <c r="H21" s="138">
        <f>C20*C21+D20*D21+E20*E21+F20*F21</f>
        <v>1.0052793616721705E-3</v>
      </c>
    </row>
    <row r="22" spans="1:8" x14ac:dyDescent="0.3">
      <c r="C22" s="138"/>
      <c r="D22" s="138"/>
      <c r="E22" s="138"/>
      <c r="F22" s="138"/>
      <c r="G22" s="138"/>
      <c r="H22" s="138"/>
    </row>
    <row r="23" spans="1:8" x14ac:dyDescent="0.3">
      <c r="A23" t="str">
        <f>DGcalcul!C113</f>
        <v>Water use</v>
      </c>
      <c r="B23" s="135" t="str">
        <f>DGcalcul!D113</f>
        <v>m3 priv.</v>
      </c>
      <c r="C23" s="136">
        <f>DGcalcul!E113</f>
        <v>4.9224314038391666E-3</v>
      </c>
      <c r="D23" s="136">
        <f>DGcalcul!G113</f>
        <v>4.46248782522E-4</v>
      </c>
      <c r="E23" s="136">
        <f>DGcalcul!I113</f>
        <v>1.6276497434800015E-4</v>
      </c>
      <c r="F23" s="136">
        <f>DGcalcul!K116+DGcalcul!K117</f>
        <v>1.535634804E-3</v>
      </c>
      <c r="G23" s="136"/>
      <c r="H23" s="136">
        <f>DGcalcul!K113</f>
        <v>5.6082269009091667E-3</v>
      </c>
    </row>
    <row r="24" spans="1:8" x14ac:dyDescent="0.3">
      <c r="B24" s="135" t="s">
        <v>45</v>
      </c>
      <c r="C24" s="137">
        <f>C23/SUM(C23:F23)</f>
        <v>0.6965297447347818</v>
      </c>
      <c r="D24" s="137">
        <f>D23/SUM(C23:F23)</f>
        <v>6.3144719565991853E-2</v>
      </c>
      <c r="E24" s="137">
        <f>E23/SUM(C23:F23)</f>
        <v>2.3031432382369887E-2</v>
      </c>
      <c r="F24" s="137">
        <f>F23/SUM(C23:F23)</f>
        <v>0.21729410331685645</v>
      </c>
      <c r="G24" s="138"/>
      <c r="H24" s="138"/>
    </row>
    <row r="25" spans="1:8" x14ac:dyDescent="0.3">
      <c r="B25" s="135" t="s">
        <v>399</v>
      </c>
      <c r="C25" s="138">
        <f>DGcalcul!E123</f>
        <v>8.7503401284037016E-4</v>
      </c>
      <c r="D25" s="138">
        <f>DGcalcul!G123</f>
        <v>7.9327232999286661E-5</v>
      </c>
      <c r="E25" s="138">
        <f>DGcalcul!I123</f>
        <v>2.893384934577425E-5</v>
      </c>
      <c r="F25" s="138">
        <f>DGcalcul!K123</f>
        <v>0.5</v>
      </c>
      <c r="G25" s="138"/>
      <c r="H25" s="138">
        <f>C24*C25+D24*D25+E24*E25+F24*F25</f>
        <v>0.10926221435990263</v>
      </c>
    </row>
    <row r="26" spans="1:8" x14ac:dyDescent="0.3">
      <c r="C26" s="138"/>
      <c r="D26" s="138"/>
      <c r="E26" s="138"/>
      <c r="F26" s="138"/>
      <c r="G26" s="138"/>
      <c r="H26" s="138"/>
    </row>
    <row r="27" spans="1:8" x14ac:dyDescent="0.3">
      <c r="A27" t="str">
        <f>DGcalcul!C126</f>
        <v>Resource use, fossil</v>
      </c>
      <c r="B27" s="135" t="str">
        <f>DGcalcul!D126</f>
        <v>MJ</v>
      </c>
      <c r="C27" s="136">
        <f>DGcalcul!E126</f>
        <v>0.33536714029583331</v>
      </c>
      <c r="D27" s="136">
        <f>DGcalcul!G126</f>
        <v>2.3418287490000002E-2</v>
      </c>
      <c r="E27" s="136">
        <f>DGcalcul!I126</f>
        <v>7.9388542700000071E-3</v>
      </c>
      <c r="F27" s="136">
        <f>DGcalcul!K129+DGcalcul!K130</f>
        <v>6.9192255000000005</v>
      </c>
      <c r="G27" s="136"/>
      <c r="H27" s="136">
        <f>DGcalcul!K126</f>
        <v>0.71268555705583325</v>
      </c>
    </row>
    <row r="28" spans="1:8" x14ac:dyDescent="0.3">
      <c r="B28" s="135" t="s">
        <v>45</v>
      </c>
      <c r="C28" s="137">
        <f>C27/SUM(C27:F27)</f>
        <v>4.6029296155978269E-2</v>
      </c>
      <c r="D28" s="137">
        <f>D27/SUM(C27:F27)</f>
        <v>3.2141708617969915E-3</v>
      </c>
      <c r="E28" s="137">
        <f>E27/SUM(C27:F27)</f>
        <v>1.089611444969354E-3</v>
      </c>
      <c r="F28" s="137">
        <f>F27/SUM(C27:F27)</f>
        <v>0.9496669215372554</v>
      </c>
      <c r="G28" s="138"/>
      <c r="H28" s="138"/>
    </row>
    <row r="29" spans="1:8" x14ac:dyDescent="0.3">
      <c r="B29" s="135" t="s">
        <v>399</v>
      </c>
      <c r="C29" s="138">
        <f>DGcalcul!E136</f>
        <v>2.6071527824881651E-3</v>
      </c>
      <c r="D29" s="138">
        <f>DGcalcul!G136</f>
        <v>1.8205436983719856E-4</v>
      </c>
      <c r="E29" s="138">
        <f>DGcalcul!I136</f>
        <v>6.1716857476080297E-5</v>
      </c>
      <c r="F29" s="138">
        <f>DGcalcul!K136</f>
        <v>0.35547822696177744</v>
      </c>
      <c r="G29" s="138"/>
      <c r="H29" s="138">
        <f>C28*C29+D28*D29+E28*E29+F28*F29</f>
        <v>0.33770657128110704</v>
      </c>
    </row>
    <row r="30" spans="1:8" x14ac:dyDescent="0.3">
      <c r="C30" s="138"/>
      <c r="D30" s="138"/>
      <c r="E30" s="138"/>
      <c r="F30" s="138"/>
      <c r="G30" s="138"/>
      <c r="H30" s="138"/>
    </row>
    <row r="31" spans="1:8" x14ac:dyDescent="0.3">
      <c r="A31" t="str">
        <f>DGcalcul!C139</f>
        <v>Resource use, minerals and metals</v>
      </c>
      <c r="B31" s="135" t="str">
        <f>DGcalcul!D139</f>
        <v>kg Sb eq</v>
      </c>
      <c r="C31" s="136">
        <f>DGcalcul!E139</f>
        <v>6.1046430015833336E-8</v>
      </c>
      <c r="D31" s="136">
        <f>DGcalcul!G139</f>
        <v>4.5227915535000004E-9</v>
      </c>
      <c r="E31" s="136">
        <f>DGcalcul!I139</f>
        <v>3.8175557250000042E-9</v>
      </c>
      <c r="F31" s="136">
        <f>DGcalcul!K142+DGcalcul!K143</f>
        <v>1.6583171880000002E-6</v>
      </c>
      <c r="G31" s="136"/>
      <c r="H31" s="136">
        <f>DGcalcul!K139</f>
        <v>1.5230263669433333E-7</v>
      </c>
    </row>
    <row r="32" spans="1:8" x14ac:dyDescent="0.3">
      <c r="B32" s="135" t="s">
        <v>45</v>
      </c>
      <c r="C32" s="137">
        <f>C31/SUM(C31:F31)</f>
        <v>3.5333848415074628E-2</v>
      </c>
      <c r="D32" s="137">
        <f>D31/SUM(C31:F31)</f>
        <v>2.6178046959158844E-3</v>
      </c>
      <c r="E32" s="137">
        <f>E31/SUM(C31:F31)</f>
        <v>2.2096121799139597E-3</v>
      </c>
      <c r="F32" s="137">
        <f>F31/SUM(C31:F31)</f>
        <v>0.95983873470909553</v>
      </c>
      <c r="G32" s="138"/>
      <c r="H32" s="138"/>
    </row>
    <row r="33" spans="2:8" x14ac:dyDescent="0.3">
      <c r="B33" s="135" t="s">
        <v>399</v>
      </c>
      <c r="C33" s="138">
        <f>DGcalcul!E149</f>
        <v>2.0544042910539744E-4</v>
      </c>
      <c r="D33" s="138">
        <f>DGcalcul!G149</f>
        <v>1.5220615476847934E-5</v>
      </c>
      <c r="E33" s="138">
        <f>DGcalcul!I149</f>
        <v>1.2847275198145939E-5</v>
      </c>
      <c r="F33" s="138">
        <f>DGcalcul!K149</f>
        <v>0.5</v>
      </c>
      <c r="H33" s="138">
        <f>C32*C33+D32*D33+E32*E33+F32*F33</f>
        <v>0.47992669458762255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2E29E-88B6-42E3-BE77-496EEEFD5C7A}">
  <sheetPr>
    <tabColor theme="9"/>
  </sheetPr>
  <dimension ref="A2:G30"/>
  <sheetViews>
    <sheetView zoomScale="70" zoomScaleNormal="70" workbookViewId="0">
      <selection activeCell="M24" sqref="M24"/>
    </sheetView>
  </sheetViews>
  <sheetFormatPr defaultColWidth="11.44140625" defaultRowHeight="14.4" x14ac:dyDescent="0.3"/>
  <cols>
    <col min="2" max="2" width="14.44140625" customWidth="1"/>
  </cols>
  <sheetData>
    <row r="2" spans="1:7" ht="15" customHeight="1" x14ac:dyDescent="0.3"/>
    <row r="3" spans="1:7" ht="15" customHeight="1" x14ac:dyDescent="0.3"/>
    <row r="4" spans="1:7" ht="15" customHeight="1" x14ac:dyDescent="0.3"/>
    <row r="5" spans="1:7" ht="15" customHeight="1" x14ac:dyDescent="0.3"/>
    <row r="6" spans="1:7" ht="15" customHeight="1" x14ac:dyDescent="0.3"/>
    <row r="7" spans="1:7" ht="15" customHeight="1" x14ac:dyDescent="0.3"/>
    <row r="8" spans="1:7" ht="15" customHeight="1" x14ac:dyDescent="0.3"/>
    <row r="9" spans="1:7" ht="15" customHeight="1" x14ac:dyDescent="0.3"/>
    <row r="10" spans="1:7" ht="14.25" customHeight="1" x14ac:dyDescent="0.3"/>
    <row r="11" spans="1:7" s="20" customFormat="1" ht="14.25" customHeight="1" x14ac:dyDescent="0.3">
      <c r="A11"/>
      <c r="B11"/>
      <c r="C11"/>
      <c r="D11"/>
      <c r="E11"/>
      <c r="F11"/>
      <c r="G11"/>
    </row>
    <row r="12" spans="1:7" ht="14.25" customHeight="1" x14ac:dyDescent="0.3"/>
    <row r="13" spans="1:7" ht="14.25" customHeight="1" x14ac:dyDescent="0.3"/>
    <row r="14" spans="1:7" ht="14.25" customHeight="1" x14ac:dyDescent="0.3"/>
    <row r="15" spans="1:7" ht="14.25" customHeight="1" x14ac:dyDescent="0.3"/>
    <row r="16" spans="1:7" ht="14.25" customHeight="1" x14ac:dyDescent="0.3"/>
    <row r="17" spans="1:7" ht="14.25" customHeight="1" x14ac:dyDescent="0.3"/>
    <row r="18" spans="1:7" ht="14.25" customHeight="1" x14ac:dyDescent="0.3"/>
    <row r="19" spans="1:7" ht="14.25" customHeight="1" x14ac:dyDescent="0.3"/>
    <row r="20" spans="1:7" ht="14.25" customHeight="1" x14ac:dyDescent="0.3"/>
    <row r="21" spans="1:7" s="20" customFormat="1" ht="14.25" customHeight="1" x14ac:dyDescent="0.3">
      <c r="A21"/>
      <c r="B21"/>
      <c r="C21"/>
      <c r="D21"/>
      <c r="E21"/>
      <c r="F21"/>
      <c r="G21"/>
    </row>
    <row r="22" spans="1:7" ht="14.25" customHeight="1" x14ac:dyDescent="0.3"/>
    <row r="23" spans="1:7" ht="14.25" customHeight="1" x14ac:dyDescent="0.3"/>
    <row r="24" spans="1:7" ht="15" customHeight="1" x14ac:dyDescent="0.3"/>
    <row r="25" spans="1:7" ht="15" customHeight="1" x14ac:dyDescent="0.3"/>
    <row r="26" spans="1:7" ht="15" customHeight="1" x14ac:dyDescent="0.3"/>
    <row r="27" spans="1:7" ht="15" customHeight="1" x14ac:dyDescent="0.3"/>
    <row r="28" spans="1:7" ht="15" customHeight="1" x14ac:dyDescent="0.3"/>
    <row r="29" spans="1:7" ht="15" customHeight="1" x14ac:dyDescent="0.3"/>
    <row r="30" spans="1:7" ht="15" customHeight="1" x14ac:dyDescent="0.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67BE9-0A0A-4313-A055-5F79D5B94DA9}">
  <dimension ref="B2:S40"/>
  <sheetViews>
    <sheetView topLeftCell="B1" workbookViewId="0">
      <selection activeCell="E40" sqref="E40"/>
    </sheetView>
  </sheetViews>
  <sheetFormatPr defaultColWidth="8.77734375" defaultRowHeight="14.4" x14ac:dyDescent="0.3"/>
  <cols>
    <col min="14" max="14" width="21.77734375" customWidth="1"/>
    <col min="15" max="15" width="32.77734375" bestFit="1" customWidth="1"/>
  </cols>
  <sheetData>
    <row r="2" spans="2:15" ht="14.55" customHeight="1" x14ac:dyDescent="0.3">
      <c r="B2" s="457" t="s">
        <v>0</v>
      </c>
      <c r="C2" s="457"/>
      <c r="D2" s="457"/>
      <c r="E2" s="457"/>
      <c r="F2" s="457"/>
      <c r="G2" s="457"/>
      <c r="H2" s="457"/>
      <c r="I2" s="457"/>
      <c r="J2" s="457"/>
      <c r="K2" s="457"/>
      <c r="L2" s="4"/>
      <c r="M2" s="4"/>
      <c r="N2" t="s">
        <v>2</v>
      </c>
    </row>
    <row r="3" spans="2:15" x14ac:dyDescent="0.3">
      <c r="B3" s="457"/>
      <c r="C3" s="457"/>
      <c r="D3" s="457"/>
      <c r="E3" s="457"/>
      <c r="F3" s="457"/>
      <c r="G3" s="457"/>
      <c r="H3" s="457"/>
      <c r="I3" s="457"/>
      <c r="J3" s="457"/>
      <c r="K3" s="457"/>
      <c r="L3" s="4"/>
      <c r="M3" s="4"/>
      <c r="N3" t="s">
        <v>3</v>
      </c>
    </row>
    <row r="4" spans="2:15" x14ac:dyDescent="0.3">
      <c r="B4" s="457"/>
      <c r="C4" s="457"/>
      <c r="D4" s="457"/>
      <c r="E4" s="457"/>
      <c r="F4" s="457"/>
      <c r="G4" s="457"/>
      <c r="H4" s="457"/>
      <c r="I4" s="457"/>
      <c r="J4" s="457"/>
      <c r="K4" s="457"/>
      <c r="L4" s="4"/>
      <c r="M4" s="4"/>
      <c r="O4" t="s">
        <v>4</v>
      </c>
    </row>
    <row r="5" spans="2:15" x14ac:dyDescent="0.3">
      <c r="B5" s="457"/>
      <c r="C5" s="457"/>
      <c r="D5" s="457"/>
      <c r="E5" s="457"/>
      <c r="F5" s="457"/>
      <c r="G5" s="457"/>
      <c r="H5" s="457"/>
      <c r="I5" s="457"/>
      <c r="J5" s="457"/>
      <c r="K5" s="457"/>
      <c r="L5" s="4"/>
      <c r="M5" s="4"/>
      <c r="O5" t="s">
        <v>5</v>
      </c>
    </row>
    <row r="6" spans="2:15" x14ac:dyDescent="0.3">
      <c r="B6" s="457"/>
      <c r="C6" s="457"/>
      <c r="D6" s="457"/>
      <c r="E6" s="457"/>
      <c r="F6" s="457"/>
      <c r="G6" s="457"/>
      <c r="H6" s="457"/>
      <c r="I6" s="457"/>
      <c r="J6" s="457"/>
      <c r="K6" s="457"/>
      <c r="L6" s="4"/>
      <c r="M6" s="4"/>
      <c r="O6" t="s">
        <v>6</v>
      </c>
    </row>
    <row r="7" spans="2:15" x14ac:dyDescent="0.3">
      <c r="B7" s="457"/>
      <c r="C7" s="457"/>
      <c r="D7" s="457"/>
      <c r="E7" s="457"/>
      <c r="F7" s="457"/>
      <c r="G7" s="457"/>
      <c r="H7" s="457"/>
      <c r="I7" s="457"/>
      <c r="J7" s="457"/>
      <c r="K7" s="457"/>
      <c r="L7" s="4"/>
      <c r="M7" s="4"/>
      <c r="N7" t="s">
        <v>7</v>
      </c>
    </row>
    <row r="8" spans="2:15" x14ac:dyDescent="0.3">
      <c r="B8" s="457"/>
      <c r="C8" s="457"/>
      <c r="D8" s="457"/>
      <c r="E8" s="457"/>
      <c r="F8" s="457"/>
      <c r="G8" s="457"/>
      <c r="H8" s="457"/>
      <c r="I8" s="457"/>
      <c r="J8" s="457"/>
      <c r="K8" s="457"/>
      <c r="L8" s="4"/>
      <c r="M8" s="4"/>
      <c r="O8" t="s">
        <v>8</v>
      </c>
    </row>
    <row r="9" spans="2:15" x14ac:dyDescent="0.3">
      <c r="B9" s="457"/>
      <c r="C9" s="457"/>
      <c r="D9" s="457"/>
      <c r="E9" s="457"/>
      <c r="F9" s="457"/>
      <c r="G9" s="457"/>
      <c r="H9" s="457"/>
      <c r="I9" s="457"/>
      <c r="J9" s="457"/>
      <c r="K9" s="457"/>
      <c r="L9" s="4"/>
      <c r="M9" s="4"/>
      <c r="O9" t="s">
        <v>9</v>
      </c>
    </row>
    <row r="10" spans="2:15" x14ac:dyDescent="0.3">
      <c r="B10" s="457"/>
      <c r="C10" s="457"/>
      <c r="D10" s="457"/>
      <c r="E10" s="457"/>
      <c r="F10" s="457"/>
      <c r="G10" s="457"/>
      <c r="H10" s="457"/>
      <c r="I10" s="457"/>
      <c r="J10" s="457"/>
      <c r="K10" s="457"/>
      <c r="L10" s="4"/>
      <c r="M10" s="4"/>
      <c r="O10" t="s">
        <v>10</v>
      </c>
    </row>
    <row r="11" spans="2:15" x14ac:dyDescent="0.3">
      <c r="B11" s="457"/>
      <c r="C11" s="457"/>
      <c r="D11" s="457"/>
      <c r="E11" s="457"/>
      <c r="F11" s="457"/>
      <c r="G11" s="457"/>
      <c r="H11" s="457"/>
      <c r="I11" s="457"/>
      <c r="J11" s="457"/>
      <c r="K11" s="457"/>
      <c r="L11" s="4"/>
      <c r="M11" s="4"/>
      <c r="O11" t="s">
        <v>11</v>
      </c>
    </row>
    <row r="12" spans="2:15" x14ac:dyDescent="0.3">
      <c r="B12" s="457"/>
      <c r="C12" s="457"/>
      <c r="D12" s="457"/>
      <c r="E12" s="457"/>
      <c r="F12" s="457"/>
      <c r="G12" s="457"/>
      <c r="H12" s="457"/>
      <c r="I12" s="457"/>
      <c r="J12" s="457"/>
      <c r="K12" s="457"/>
      <c r="L12" s="4"/>
      <c r="M12" s="4"/>
    </row>
    <row r="13" spans="2:15" x14ac:dyDescent="0.3">
      <c r="B13" s="457"/>
      <c r="C13" s="457"/>
      <c r="D13" s="457"/>
      <c r="E13" s="457"/>
      <c r="F13" s="457"/>
      <c r="G13" s="457"/>
      <c r="H13" s="457"/>
      <c r="I13" s="457"/>
      <c r="J13" s="457"/>
      <c r="K13" s="457"/>
      <c r="L13" s="4"/>
      <c r="M13" s="4"/>
    </row>
    <row r="14" spans="2:15" x14ac:dyDescent="0.3">
      <c r="B14" s="457"/>
      <c r="C14" s="457"/>
      <c r="D14" s="457"/>
      <c r="E14" s="457"/>
      <c r="F14" s="457"/>
      <c r="G14" s="457"/>
      <c r="H14" s="457"/>
      <c r="I14" s="457"/>
      <c r="J14" s="457"/>
      <c r="K14" s="457"/>
      <c r="L14" s="4"/>
      <c r="M14" s="4"/>
    </row>
    <row r="15" spans="2:15" x14ac:dyDescent="0.3">
      <c r="B15" s="457"/>
      <c r="C15" s="457"/>
      <c r="D15" s="457"/>
      <c r="E15" s="457"/>
      <c r="F15" s="457"/>
      <c r="G15" s="457"/>
      <c r="H15" s="457"/>
      <c r="I15" s="457"/>
      <c r="J15" s="457"/>
      <c r="K15" s="457"/>
      <c r="L15" s="4"/>
      <c r="M15" s="4"/>
    </row>
    <row r="16" spans="2:15" x14ac:dyDescent="0.3">
      <c r="B16" s="457"/>
      <c r="C16" s="457"/>
      <c r="D16" s="457"/>
      <c r="E16" s="457"/>
      <c r="F16" s="457"/>
      <c r="G16" s="457"/>
      <c r="H16" s="457"/>
      <c r="I16" s="457"/>
      <c r="J16" s="457"/>
      <c r="K16" s="457"/>
      <c r="L16" s="4"/>
      <c r="M16" s="4"/>
    </row>
    <row r="17" spans="2:19" x14ac:dyDescent="0.3">
      <c r="B17" s="457"/>
      <c r="C17" s="457"/>
      <c r="D17" s="457"/>
      <c r="E17" s="457"/>
      <c r="F17" s="457"/>
      <c r="G17" s="457"/>
      <c r="H17" s="457"/>
      <c r="I17" s="457"/>
      <c r="J17" s="457"/>
      <c r="K17" s="457"/>
      <c r="L17" s="4"/>
      <c r="M17" s="4"/>
    </row>
    <row r="18" spans="2:19" x14ac:dyDescent="0.3">
      <c r="B18" s="4"/>
      <c r="C18" s="4"/>
      <c r="D18" s="4"/>
      <c r="E18" s="4"/>
      <c r="F18" s="4"/>
      <c r="G18" s="4"/>
      <c r="H18" s="4"/>
      <c r="I18" s="4"/>
      <c r="J18" s="4"/>
      <c r="K18" s="4"/>
      <c r="L18" s="4"/>
      <c r="M18" s="4"/>
    </row>
    <row r="19" spans="2:19" x14ac:dyDescent="0.3">
      <c r="B19" s="457" t="s">
        <v>1</v>
      </c>
      <c r="C19" s="457"/>
      <c r="D19" s="457"/>
      <c r="E19" s="457"/>
      <c r="F19" s="457"/>
      <c r="G19" s="457"/>
      <c r="H19" s="457"/>
      <c r="I19" s="457"/>
      <c r="J19" s="457"/>
      <c r="K19" s="457"/>
      <c r="L19" s="4"/>
      <c r="M19" s="4"/>
      <c r="O19" t="s">
        <v>12</v>
      </c>
      <c r="P19" t="s">
        <v>13</v>
      </c>
      <c r="Q19" t="s">
        <v>14</v>
      </c>
      <c r="R19" t="s">
        <v>15</v>
      </c>
      <c r="S19" t="s">
        <v>16</v>
      </c>
    </row>
    <row r="20" spans="2:19" x14ac:dyDescent="0.3">
      <c r="B20" s="457"/>
      <c r="C20" s="457"/>
      <c r="D20" s="457"/>
      <c r="E20" s="457"/>
      <c r="F20" s="457"/>
      <c r="G20" s="457"/>
      <c r="H20" s="457"/>
      <c r="I20" s="457"/>
      <c r="J20" s="457"/>
      <c r="K20" s="457"/>
      <c r="L20" s="4"/>
      <c r="M20" s="4"/>
      <c r="N20" t="s">
        <v>17</v>
      </c>
      <c r="O20" t="s">
        <v>18</v>
      </c>
      <c r="P20" t="s">
        <v>19</v>
      </c>
      <c r="R20" t="s">
        <v>19</v>
      </c>
      <c r="S20" t="s">
        <v>19</v>
      </c>
    </row>
    <row r="21" spans="2:19" x14ac:dyDescent="0.3">
      <c r="B21" s="457"/>
      <c r="C21" s="457"/>
      <c r="D21" s="457"/>
      <c r="E21" s="457"/>
      <c r="F21" s="457"/>
      <c r="G21" s="457"/>
      <c r="H21" s="457"/>
      <c r="I21" s="457"/>
      <c r="J21" s="457"/>
      <c r="K21" s="457"/>
      <c r="L21" s="4"/>
      <c r="M21" s="4"/>
      <c r="N21" t="s">
        <v>20</v>
      </c>
      <c r="O21" t="s">
        <v>4</v>
      </c>
      <c r="P21" t="s">
        <v>21</v>
      </c>
      <c r="Q21" t="s">
        <v>19</v>
      </c>
      <c r="R21" t="s">
        <v>21</v>
      </c>
      <c r="S21" t="s">
        <v>21</v>
      </c>
    </row>
    <row r="22" spans="2:19" x14ac:dyDescent="0.3">
      <c r="B22" s="457"/>
      <c r="C22" s="457"/>
      <c r="D22" s="457"/>
      <c r="E22" s="457"/>
      <c r="F22" s="457"/>
      <c r="G22" s="457"/>
      <c r="H22" s="457"/>
      <c r="I22" s="457"/>
      <c r="J22" s="457"/>
      <c r="K22" s="457"/>
      <c r="L22" s="4"/>
      <c r="M22" s="4"/>
      <c r="O22" t="s">
        <v>22</v>
      </c>
      <c r="P22" t="s">
        <v>19</v>
      </c>
      <c r="Q22" t="s">
        <v>19</v>
      </c>
      <c r="R22" t="s">
        <v>19</v>
      </c>
    </row>
    <row r="23" spans="2:19" x14ac:dyDescent="0.3">
      <c r="B23" s="457"/>
      <c r="C23" s="457"/>
      <c r="D23" s="457"/>
      <c r="E23" s="457"/>
      <c r="F23" s="457"/>
      <c r="G23" s="457"/>
      <c r="H23" s="457"/>
      <c r="I23" s="457"/>
      <c r="J23" s="457"/>
      <c r="K23" s="457"/>
      <c r="L23" s="4"/>
      <c r="M23" s="4"/>
      <c r="O23" t="s">
        <v>26</v>
      </c>
    </row>
    <row r="24" spans="2:19" x14ac:dyDescent="0.3">
      <c r="B24" s="457"/>
      <c r="C24" s="457"/>
      <c r="D24" s="457"/>
      <c r="E24" s="457"/>
      <c r="F24" s="457"/>
      <c r="G24" s="457"/>
      <c r="H24" s="457"/>
      <c r="I24" s="457"/>
      <c r="J24" s="457"/>
      <c r="K24" s="457"/>
      <c r="L24" s="4"/>
      <c r="M24" s="4"/>
      <c r="O24" t="s">
        <v>27</v>
      </c>
    </row>
    <row r="25" spans="2:19" x14ac:dyDescent="0.3">
      <c r="B25" s="4"/>
      <c r="C25" s="4"/>
      <c r="D25" s="4"/>
      <c r="E25" s="4"/>
      <c r="F25" s="4"/>
      <c r="G25" s="4"/>
      <c r="H25" s="4"/>
      <c r="I25" s="4"/>
      <c r="J25" s="4"/>
      <c r="K25" s="4"/>
      <c r="L25" s="4"/>
      <c r="M25" s="4"/>
      <c r="O25" t="s">
        <v>6</v>
      </c>
      <c r="P25" t="s">
        <v>19</v>
      </c>
      <c r="Q25" t="s">
        <v>21</v>
      </c>
      <c r="R25" t="s">
        <v>19</v>
      </c>
    </row>
    <row r="26" spans="2:19" x14ac:dyDescent="0.3">
      <c r="B26" s="4"/>
      <c r="C26" s="4"/>
      <c r="D26" s="4"/>
      <c r="E26" s="4"/>
      <c r="F26" s="4"/>
      <c r="G26" s="4"/>
      <c r="H26" s="4"/>
      <c r="I26" s="4"/>
      <c r="J26" s="4"/>
      <c r="K26" s="4"/>
      <c r="L26" s="4"/>
      <c r="M26" s="4"/>
      <c r="O26" t="s">
        <v>28</v>
      </c>
    </row>
    <row r="27" spans="2:19" x14ac:dyDescent="0.3">
      <c r="N27" t="s">
        <v>23</v>
      </c>
      <c r="O27" t="s">
        <v>24</v>
      </c>
      <c r="P27" t="s">
        <v>19</v>
      </c>
      <c r="Q27" t="s">
        <v>19</v>
      </c>
      <c r="R27" t="s">
        <v>19</v>
      </c>
      <c r="S27" t="s">
        <v>19</v>
      </c>
    </row>
    <row r="28" spans="2:19" x14ac:dyDescent="0.3">
      <c r="O28" t="s">
        <v>25</v>
      </c>
    </row>
    <row r="29" spans="2:19" x14ac:dyDescent="0.3">
      <c r="O29" t="s">
        <v>29</v>
      </c>
    </row>
    <row r="30" spans="2:19" x14ac:dyDescent="0.3">
      <c r="O30" t="s">
        <v>30</v>
      </c>
    </row>
    <row r="31" spans="2:19" x14ac:dyDescent="0.3">
      <c r="O31" t="s">
        <v>31</v>
      </c>
    </row>
    <row r="32" spans="2:19" x14ac:dyDescent="0.3">
      <c r="O32" t="s">
        <v>32</v>
      </c>
    </row>
    <row r="33" spans="15:19" x14ac:dyDescent="0.3">
      <c r="O33" t="s">
        <v>33</v>
      </c>
    </row>
    <row r="34" spans="15:19" x14ac:dyDescent="0.3">
      <c r="O34" t="s">
        <v>34</v>
      </c>
    </row>
    <row r="35" spans="15:19" x14ac:dyDescent="0.3">
      <c r="O35" t="s">
        <v>35</v>
      </c>
    </row>
    <row r="36" spans="15:19" x14ac:dyDescent="0.3">
      <c r="O36" t="s">
        <v>36</v>
      </c>
    </row>
    <row r="37" spans="15:19" x14ac:dyDescent="0.3">
      <c r="O37" t="s">
        <v>10</v>
      </c>
      <c r="P37" t="s">
        <v>19</v>
      </c>
      <c r="Q37" t="s">
        <v>19</v>
      </c>
      <c r="R37" t="s">
        <v>19</v>
      </c>
      <c r="S37" t="s">
        <v>19</v>
      </c>
    </row>
    <row r="38" spans="15:19" x14ac:dyDescent="0.3">
      <c r="O38" t="s">
        <v>37</v>
      </c>
    </row>
    <row r="39" spans="15:19" x14ac:dyDescent="0.3">
      <c r="O39" t="s">
        <v>9</v>
      </c>
      <c r="P39" t="s">
        <v>19</v>
      </c>
      <c r="Q39" t="s">
        <v>19</v>
      </c>
      <c r="R39" t="s">
        <v>19</v>
      </c>
      <c r="S39" t="s">
        <v>19</v>
      </c>
    </row>
    <row r="40" spans="15:19" x14ac:dyDescent="0.3">
      <c r="O40" t="s">
        <v>37</v>
      </c>
    </row>
  </sheetData>
  <mergeCells count="2">
    <mergeCell ref="B2:K17"/>
    <mergeCell ref="B19:K24"/>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41BDC-F255-4C45-9970-98CB7F58BD53}">
  <sheetPr>
    <tabColor theme="9"/>
  </sheetPr>
  <dimension ref="A1:T81"/>
  <sheetViews>
    <sheetView topLeftCell="A49" zoomScale="85" zoomScaleNormal="85" workbookViewId="0">
      <selection activeCell="M24" sqref="M24"/>
    </sheetView>
  </sheetViews>
  <sheetFormatPr defaultColWidth="11.44140625" defaultRowHeight="14.4" x14ac:dyDescent="0.3"/>
  <cols>
    <col min="1" max="1" width="22.77734375" customWidth="1"/>
  </cols>
  <sheetData>
    <row r="1" spans="1:20" ht="63.45" customHeight="1" x14ac:dyDescent="0.3">
      <c r="A1" s="139" t="s">
        <v>400</v>
      </c>
      <c r="B1" s="140" t="s">
        <v>401</v>
      </c>
      <c r="C1" s="141" t="s">
        <v>402</v>
      </c>
      <c r="D1" s="141" t="s">
        <v>403</v>
      </c>
      <c r="E1" s="141" t="s">
        <v>404</v>
      </c>
      <c r="F1" s="141" t="s">
        <v>196</v>
      </c>
      <c r="G1" s="141" t="s">
        <v>405</v>
      </c>
      <c r="H1" s="141" t="s">
        <v>303</v>
      </c>
      <c r="I1" s="142" t="s">
        <v>302</v>
      </c>
      <c r="J1" s="142" t="s">
        <v>406</v>
      </c>
      <c r="K1" s="142" t="s">
        <v>407</v>
      </c>
      <c r="L1" s="142" t="s">
        <v>408</v>
      </c>
      <c r="M1" s="142" t="s">
        <v>409</v>
      </c>
      <c r="N1" s="142" t="s">
        <v>410</v>
      </c>
      <c r="O1" s="142" t="s">
        <v>411</v>
      </c>
      <c r="P1" s="142" t="s">
        <v>412</v>
      </c>
      <c r="Q1" s="142" t="s">
        <v>413</v>
      </c>
      <c r="R1" s="142" t="s">
        <v>414</v>
      </c>
      <c r="S1" s="142" t="s">
        <v>415</v>
      </c>
      <c r="T1" s="437" t="s">
        <v>796</v>
      </c>
    </row>
    <row r="2" spans="1:20" x14ac:dyDescent="0.3">
      <c r="A2" s="143" t="s">
        <v>327</v>
      </c>
      <c r="B2" s="144" t="s">
        <v>336</v>
      </c>
      <c r="C2" s="145">
        <v>2.3990300000000002</v>
      </c>
      <c r="D2" s="145">
        <v>2.3770953000000001</v>
      </c>
      <c r="E2" s="145">
        <v>2.5643614000000001</v>
      </c>
      <c r="F2" s="145">
        <v>3.2109008000000001</v>
      </c>
      <c r="G2" s="146">
        <v>4.0147376000000001</v>
      </c>
      <c r="H2" s="146">
        <v>4.8367274</v>
      </c>
      <c r="I2" s="146">
        <v>2.9005692999999999</v>
      </c>
      <c r="K2">
        <v>3.1</v>
      </c>
      <c r="L2">
        <v>5.3855608000000004</v>
      </c>
      <c r="M2">
        <v>2.5691280999999999</v>
      </c>
      <c r="O2">
        <v>0.34325535000000001</v>
      </c>
      <c r="P2">
        <v>5.1107008</v>
      </c>
      <c r="Q2">
        <v>7.6010920000000004</v>
      </c>
      <c r="R2">
        <v>0.81507958999999996</v>
      </c>
      <c r="S2">
        <v>0.69157294999999996</v>
      </c>
      <c r="T2" s="150">
        <f>AVERAGE(C2:I2,K2:M2,O2:S2)</f>
        <v>3.1946540926666676</v>
      </c>
    </row>
    <row r="3" spans="1:20" x14ac:dyDescent="0.3">
      <c r="A3" s="147" t="s">
        <v>416</v>
      </c>
      <c r="B3" s="144" t="s">
        <v>417</v>
      </c>
      <c r="C3" s="145">
        <v>5.8780467999999998E-8</v>
      </c>
      <c r="D3" s="145">
        <v>4.4766572999999999E-8</v>
      </c>
      <c r="E3" s="145">
        <v>5.2612219000000002E-8</v>
      </c>
      <c r="F3" s="145">
        <v>1.5174863E-5</v>
      </c>
      <c r="G3" s="146">
        <v>1.3145818E-5</v>
      </c>
      <c r="H3" s="146">
        <v>4.0000000000000003E-5</v>
      </c>
      <c r="I3" s="146">
        <v>4.0522747E-8</v>
      </c>
      <c r="K3">
        <v>4.4899999999999998E-8</v>
      </c>
      <c r="L3">
        <v>1.8410269E-7</v>
      </c>
      <c r="M3">
        <v>3.5129844000000001E-8</v>
      </c>
      <c r="O3">
        <v>3.5243235E-9</v>
      </c>
      <c r="P3">
        <v>3.5083043999999998E-8</v>
      </c>
      <c r="Q3">
        <v>5.1977326000000001E-8</v>
      </c>
      <c r="R3">
        <v>1.9895787E-8</v>
      </c>
      <c r="S3">
        <v>1.2397796999999999E-8</v>
      </c>
      <c r="T3" s="150">
        <f t="shared" ref="T3:T17" si="0">AVERAGE(C3:I3,K3:M3,O3:S3)</f>
        <v>4.5936249212333326E-6</v>
      </c>
    </row>
    <row r="4" spans="1:20" x14ac:dyDescent="0.3">
      <c r="A4" s="147" t="s">
        <v>418</v>
      </c>
      <c r="B4" s="144" t="s">
        <v>419</v>
      </c>
      <c r="C4" s="145">
        <v>7.5567153999999997E-2</v>
      </c>
      <c r="D4" s="145">
        <v>6.0418659E-2</v>
      </c>
      <c r="E4" s="145">
        <v>0.11937664000000001</v>
      </c>
      <c r="F4" s="145">
        <v>0.15832610999999999</v>
      </c>
      <c r="G4" s="146">
        <v>0.50736205000000001</v>
      </c>
      <c r="H4" s="146">
        <v>5.7999999999999996E-3</v>
      </c>
      <c r="I4" s="146">
        <v>0.19363558</v>
      </c>
      <c r="K4">
        <v>0.20300000000000001</v>
      </c>
      <c r="L4">
        <v>0.41629126</v>
      </c>
      <c r="M4">
        <v>0.21909946</v>
      </c>
      <c r="O4">
        <v>1.9306171E-2</v>
      </c>
      <c r="P4">
        <v>0.30385926000000002</v>
      </c>
      <c r="Q4">
        <v>0.3591316</v>
      </c>
      <c r="R4">
        <v>6.2922782999999996E-2</v>
      </c>
      <c r="S4">
        <v>0.14557381</v>
      </c>
      <c r="T4" s="150">
        <f t="shared" si="0"/>
        <v>0.1899780358</v>
      </c>
    </row>
    <row r="5" spans="1:20" ht="15" customHeight="1" x14ac:dyDescent="0.3">
      <c r="A5" s="143" t="s">
        <v>328</v>
      </c>
      <c r="B5" s="144" t="s">
        <v>342</v>
      </c>
      <c r="C5" s="145">
        <v>8.3132537999999999E-3</v>
      </c>
      <c r="D5" s="145">
        <v>7.7563889000000002E-3</v>
      </c>
      <c r="E5" s="145">
        <v>1.0818777999999999E-2</v>
      </c>
      <c r="F5" s="145">
        <v>9.9837717999999992E-3</v>
      </c>
      <c r="G5" s="146">
        <v>1.5059988E-2</v>
      </c>
      <c r="H5" s="146">
        <v>1.1876707E-2</v>
      </c>
      <c r="I5" s="146">
        <v>1.1199386E-2</v>
      </c>
      <c r="K5">
        <v>1.29E-2</v>
      </c>
      <c r="L5">
        <v>2.5711924000000001E-2</v>
      </c>
      <c r="M5">
        <v>1.2966122E-2</v>
      </c>
      <c r="O5">
        <v>1.8280290999999999E-3</v>
      </c>
      <c r="P5">
        <v>1.7011944000000001E-2</v>
      </c>
      <c r="Q5">
        <v>2.6069821E-2</v>
      </c>
      <c r="R5">
        <v>3.2301411000000002E-3</v>
      </c>
      <c r="S5">
        <v>4.7639539000000003E-3</v>
      </c>
      <c r="T5" s="150">
        <f t="shared" si="0"/>
        <v>1.1966013906666665E-2</v>
      </c>
    </row>
    <row r="6" spans="1:20" x14ac:dyDescent="0.3">
      <c r="A6" s="143" t="s">
        <v>329</v>
      </c>
      <c r="B6" s="144" t="s">
        <v>343</v>
      </c>
      <c r="C6" s="145">
        <v>9.5710857E-8</v>
      </c>
      <c r="D6" s="145">
        <v>9.4228869000000004E-8</v>
      </c>
      <c r="E6" s="145">
        <v>1.0238838000000001E-7</v>
      </c>
      <c r="F6" s="145">
        <v>1.4618308000000001E-7</v>
      </c>
      <c r="G6" s="146">
        <v>1.1376167E-7</v>
      </c>
      <c r="H6" s="146">
        <v>1.7958559E-7</v>
      </c>
      <c r="I6" s="146">
        <v>1.4018923E-7</v>
      </c>
      <c r="K6">
        <v>1.6999999999999999E-7</v>
      </c>
      <c r="L6">
        <v>4.2435423999999999E-7</v>
      </c>
      <c r="M6">
        <v>1.4544961000000001E-7</v>
      </c>
      <c r="O6">
        <v>3.1916949999999998E-8</v>
      </c>
      <c r="P6">
        <v>4.1879261E-7</v>
      </c>
      <c r="Q6">
        <v>1.1302056E-6</v>
      </c>
      <c r="R6">
        <v>3.2780951000000002E-8</v>
      </c>
      <c r="S6">
        <v>3.9359606000000003E-8</v>
      </c>
      <c r="T6" s="150">
        <f t="shared" si="0"/>
        <v>2.1766048286666667E-7</v>
      </c>
    </row>
    <row r="7" spans="1:20" x14ac:dyDescent="0.3">
      <c r="A7" s="147" t="s">
        <v>420</v>
      </c>
      <c r="B7" s="144" t="s">
        <v>421</v>
      </c>
      <c r="C7" s="145">
        <v>1.7281820000000001E-8</v>
      </c>
      <c r="D7" s="145">
        <v>1.6799726E-8</v>
      </c>
      <c r="E7" s="145">
        <v>1.9583169000000002E-8</v>
      </c>
      <c r="F7" s="145">
        <v>3.6269325E-8</v>
      </c>
      <c r="G7" s="146">
        <v>1.6233761E-7</v>
      </c>
      <c r="H7" s="146">
        <v>5.0859263999999997E-7</v>
      </c>
      <c r="I7" s="146">
        <v>1.0106744E-8</v>
      </c>
      <c r="K7">
        <v>7.5199999999999999E-10</v>
      </c>
      <c r="L7">
        <v>4.6416966E-8</v>
      </c>
      <c r="M7">
        <v>1.3149530999999999E-7</v>
      </c>
      <c r="O7">
        <v>5.7779716999999998E-9</v>
      </c>
      <c r="P7">
        <v>1.0139982E-7</v>
      </c>
      <c r="Q7">
        <v>6.9638639999999997E-8</v>
      </c>
      <c r="R7">
        <v>1.2959267E-8</v>
      </c>
      <c r="S7">
        <v>6.8773467999999998E-9</v>
      </c>
      <c r="T7" s="150">
        <f t="shared" si="0"/>
        <v>7.6419223699999998E-8</v>
      </c>
    </row>
    <row r="8" spans="1:20" x14ac:dyDescent="0.3">
      <c r="A8" s="147" t="s">
        <v>422</v>
      </c>
      <c r="B8" s="144" t="s">
        <v>421</v>
      </c>
      <c r="C8" s="145">
        <v>7.3979960999999999E-10</v>
      </c>
      <c r="D8" s="145">
        <v>6.4585068000000003E-10</v>
      </c>
      <c r="E8" s="145">
        <v>7.3297005000000002E-10</v>
      </c>
      <c r="F8" s="145">
        <v>1.9817272999999999E-9</v>
      </c>
      <c r="G8" s="146">
        <v>1.2424242E-8</v>
      </c>
      <c r="H8" s="146">
        <v>1.1011013000000001E-9</v>
      </c>
      <c r="I8" s="146">
        <v>6.6269898E-10</v>
      </c>
      <c r="K8">
        <v>2.4999999999999999E-8</v>
      </c>
      <c r="L8">
        <v>2.3047121E-8</v>
      </c>
      <c r="M8">
        <v>6.6231469999999997E-9</v>
      </c>
      <c r="O8">
        <v>1.4351609999999999E-9</v>
      </c>
      <c r="P8">
        <v>1.2804058000000001E-7</v>
      </c>
      <c r="Q8">
        <v>6.0520961999999998E-8</v>
      </c>
      <c r="R8">
        <v>2.9597120000000001E-9</v>
      </c>
      <c r="S8">
        <v>2.4807306000000002E-9</v>
      </c>
      <c r="T8" s="150">
        <f t="shared" si="0"/>
        <v>1.7893053567999996E-8</v>
      </c>
    </row>
    <row r="9" spans="1:20" x14ac:dyDescent="0.3">
      <c r="A9" s="147" t="s">
        <v>330</v>
      </c>
      <c r="B9" s="144" t="s">
        <v>344</v>
      </c>
      <c r="C9" s="145">
        <v>9.7047087999999997E-3</v>
      </c>
      <c r="D9" s="145">
        <v>9.5160699000000001E-3</v>
      </c>
      <c r="E9" s="145">
        <v>1.0766255000000001E-2</v>
      </c>
      <c r="F9" s="145">
        <v>1.4006064E-2</v>
      </c>
      <c r="G9" s="146">
        <v>1.4261395E-2</v>
      </c>
      <c r="H9" s="146">
        <v>2.0972953999999999E-2</v>
      </c>
      <c r="I9" s="146">
        <v>1.7641191000000001E-2</v>
      </c>
      <c r="K9">
        <v>2.0199999999999999E-2</v>
      </c>
      <c r="L9">
        <v>3.9171743000000002E-2</v>
      </c>
      <c r="M9">
        <v>1.8953916000000001E-2</v>
      </c>
      <c r="O9">
        <v>2.4891009E-3</v>
      </c>
      <c r="P9">
        <v>2.8309332E-2</v>
      </c>
      <c r="Q9">
        <v>4.5411606E-2</v>
      </c>
      <c r="R9">
        <v>3.3283343000000002E-3</v>
      </c>
      <c r="S9">
        <v>4.7561390000000004E-3</v>
      </c>
      <c r="T9" s="150">
        <f t="shared" si="0"/>
        <v>1.7299253926666664E-2</v>
      </c>
    </row>
    <row r="10" spans="1:20" x14ac:dyDescent="0.3">
      <c r="A10" s="147" t="s">
        <v>331</v>
      </c>
      <c r="B10" s="144" t="s">
        <v>345</v>
      </c>
      <c r="C10" s="145">
        <v>4.0666881000000002E-4</v>
      </c>
      <c r="D10" s="145">
        <v>3.9247221999999998E-4</v>
      </c>
      <c r="E10" s="145">
        <v>5.4658148000000001E-4</v>
      </c>
      <c r="F10" s="145">
        <v>6.2680620999999996E-4</v>
      </c>
      <c r="G10" s="146">
        <v>1.0438343999999999E-3</v>
      </c>
      <c r="H10" s="146">
        <v>1.7999999999999999E-6</v>
      </c>
      <c r="I10" s="146">
        <v>1.0613421000000001E-3</v>
      </c>
      <c r="K10">
        <v>1.2600000000000001E-3</v>
      </c>
      <c r="L10">
        <v>1.4888464E-3</v>
      </c>
      <c r="M10">
        <v>6.8901556999999996E-4</v>
      </c>
      <c r="O10">
        <v>9.8381811000000004E-5</v>
      </c>
      <c r="P10">
        <v>1.6351504000000001E-3</v>
      </c>
      <c r="Q10">
        <v>2.4437203E-3</v>
      </c>
      <c r="R10">
        <v>4.4257851999999999E-4</v>
      </c>
      <c r="S10">
        <v>1.2473918999999999E-3</v>
      </c>
      <c r="T10" s="150">
        <f t="shared" si="0"/>
        <v>8.9230600806666663E-4</v>
      </c>
    </row>
    <row r="11" spans="1:20" x14ac:dyDescent="0.3">
      <c r="A11" s="147" t="s">
        <v>423</v>
      </c>
      <c r="B11" s="144" t="s">
        <v>424</v>
      </c>
      <c r="C11" s="145">
        <v>1.8693009E-3</v>
      </c>
      <c r="D11" s="145">
        <v>1.7904435E-3</v>
      </c>
      <c r="E11" s="145">
        <v>2.1309340000000001E-3</v>
      </c>
      <c r="F11" s="145">
        <v>2.6585671000000002E-3</v>
      </c>
      <c r="G11" s="146">
        <v>2.4783839000000001E-3</v>
      </c>
      <c r="H11" s="146">
        <v>3.0999999999999999E-3</v>
      </c>
      <c r="I11" s="146">
        <v>7.4307580999999996E-3</v>
      </c>
      <c r="K11">
        <v>7.9100000000000004E-3</v>
      </c>
      <c r="L11">
        <v>4.7175943999999996E-3</v>
      </c>
      <c r="M11">
        <v>3.9391013000000001E-3</v>
      </c>
      <c r="O11">
        <v>5.4879641000000004E-4</v>
      </c>
      <c r="P11">
        <v>5.1283444000000001E-3</v>
      </c>
      <c r="Q11">
        <v>8.0780694000000004E-3</v>
      </c>
      <c r="R11">
        <v>1.6850580999999999E-3</v>
      </c>
      <c r="S11">
        <v>1.6421347E-3</v>
      </c>
      <c r="T11" s="150">
        <f t="shared" si="0"/>
        <v>3.6738324139999998E-3</v>
      </c>
    </row>
    <row r="12" spans="1:20" x14ac:dyDescent="0.3">
      <c r="A12" s="147" t="s">
        <v>425</v>
      </c>
      <c r="B12" s="144" t="s">
        <v>426</v>
      </c>
      <c r="C12" s="145">
        <v>1.9826334000000001E-2</v>
      </c>
      <c r="D12" s="145">
        <v>1.8997950999999999E-2</v>
      </c>
      <c r="E12" s="145">
        <v>2.2140303E-2</v>
      </c>
      <c r="F12" s="145">
        <v>2.7322928E-2</v>
      </c>
      <c r="G12" s="146">
        <v>2.4657488000000002E-2</v>
      </c>
      <c r="H12" s="146">
        <v>3.2901E-2</v>
      </c>
      <c r="I12" s="146">
        <v>5.8584783000000001E-2</v>
      </c>
      <c r="K12">
        <v>6.4000000000000001E-2</v>
      </c>
      <c r="L12">
        <v>4.8612128999999997E-2</v>
      </c>
      <c r="M12">
        <v>4.1963338000000003E-2</v>
      </c>
      <c r="O12">
        <v>5.6865268999999998E-3</v>
      </c>
      <c r="P12">
        <v>5.4632999000000002E-2</v>
      </c>
      <c r="Q12">
        <v>8.4411696999999994E-2</v>
      </c>
      <c r="R12">
        <v>1.2170831E-2</v>
      </c>
      <c r="S12">
        <v>1.5137296E-2</v>
      </c>
      <c r="T12" s="150">
        <f t="shared" si="0"/>
        <v>3.5403040260000004E-2</v>
      </c>
    </row>
    <row r="13" spans="1:20" x14ac:dyDescent="0.3">
      <c r="A13" s="147" t="s">
        <v>427</v>
      </c>
      <c r="B13" s="144" t="s">
        <v>428</v>
      </c>
      <c r="C13" s="145">
        <v>25.319672000000001</v>
      </c>
      <c r="D13" s="145">
        <v>24.090447999999999</v>
      </c>
      <c r="E13" s="145">
        <v>29.189384</v>
      </c>
      <c r="F13" s="145">
        <v>45.034388</v>
      </c>
      <c r="G13" s="146">
        <v>12.845972100000001</v>
      </c>
      <c r="H13" s="146">
        <v>180.0052500763</v>
      </c>
      <c r="I13" s="146">
        <v>44.147824</v>
      </c>
      <c r="K13">
        <v>47.6</v>
      </c>
      <c r="L13">
        <v>47.163175000000003</v>
      </c>
      <c r="M13">
        <v>9.6825030999999999</v>
      </c>
      <c r="O13">
        <v>1.8501873</v>
      </c>
      <c r="P13">
        <v>50.537638999999999</v>
      </c>
      <c r="Q13">
        <v>52.240656999999999</v>
      </c>
      <c r="R13">
        <v>8.7511121999999997</v>
      </c>
      <c r="S13">
        <v>4.6359618999999999</v>
      </c>
      <c r="T13" s="150">
        <f t="shared" si="0"/>
        <v>38.872944911753343</v>
      </c>
    </row>
    <row r="14" spans="1:20" x14ac:dyDescent="0.3">
      <c r="A14" s="147" t="s">
        <v>429</v>
      </c>
      <c r="B14" s="144" t="s">
        <v>430</v>
      </c>
      <c r="C14" s="145">
        <v>3.6198277999999999</v>
      </c>
      <c r="D14" s="145">
        <v>3.4161855999999999</v>
      </c>
      <c r="E14" s="145">
        <v>4.2493300999999999</v>
      </c>
      <c r="F14" s="145">
        <v>8.0139224000000002</v>
      </c>
      <c r="G14" s="146">
        <v>10.916639999999999</v>
      </c>
      <c r="H14" s="146">
        <v>0.15</v>
      </c>
      <c r="I14" s="146">
        <v>97.787004999999994</v>
      </c>
      <c r="K14">
        <v>105</v>
      </c>
      <c r="L14">
        <v>20.998097000000001</v>
      </c>
      <c r="M14">
        <v>6.7776332999999997</v>
      </c>
      <c r="O14">
        <v>1.4993586999999999</v>
      </c>
      <c r="P14">
        <v>25.974043000000002</v>
      </c>
      <c r="Q14">
        <v>17.366288999999998</v>
      </c>
      <c r="R14">
        <v>13.051418</v>
      </c>
      <c r="S14">
        <v>188.66300000000001</v>
      </c>
      <c r="T14" s="150">
        <f t="shared" si="0"/>
        <v>33.832183326666673</v>
      </c>
    </row>
    <row r="15" spans="1:20" x14ac:dyDescent="0.3">
      <c r="A15" s="147" t="s">
        <v>332</v>
      </c>
      <c r="B15" s="144" t="s">
        <v>431</v>
      </c>
      <c r="C15" s="145">
        <v>1.0867594</v>
      </c>
      <c r="D15" s="145">
        <v>0.94954499000000003</v>
      </c>
      <c r="E15" s="145">
        <v>1.4857796000000001</v>
      </c>
      <c r="F15" s="145">
        <v>1.5172838</v>
      </c>
      <c r="G15" s="146">
        <v>4.8100994999999998</v>
      </c>
      <c r="H15" s="146">
        <v>0.56999999999999995</v>
      </c>
      <c r="I15" s="146">
        <v>4.8564876999999997</v>
      </c>
      <c r="K15">
        <v>5.48</v>
      </c>
      <c r="L15">
        <v>2.0803124999999998</v>
      </c>
      <c r="M15">
        <v>0.59333716999999997</v>
      </c>
      <c r="O15">
        <v>6.4977644000000001E-2</v>
      </c>
      <c r="P15">
        <v>1.1221269</v>
      </c>
      <c r="Q15">
        <v>1.5231509000000001</v>
      </c>
      <c r="R15">
        <v>0.37895974999999998</v>
      </c>
      <c r="S15">
        <v>0.40690768999999999</v>
      </c>
      <c r="T15" s="150">
        <f t="shared" si="0"/>
        <v>1.7950485029333334</v>
      </c>
    </row>
    <row r="16" spans="1:20" x14ac:dyDescent="0.3">
      <c r="A16" s="147" t="s">
        <v>432</v>
      </c>
      <c r="B16" s="144" t="s">
        <v>347</v>
      </c>
      <c r="C16" s="145">
        <v>73.968770000000006</v>
      </c>
      <c r="D16" s="145">
        <v>75.386380000000003</v>
      </c>
      <c r="E16" s="145">
        <v>76.011477999999997</v>
      </c>
      <c r="F16" s="145">
        <v>71.411293999999998</v>
      </c>
      <c r="G16" s="146">
        <v>17.238454000000001</v>
      </c>
      <c r="H16" s="146">
        <v>120</v>
      </c>
      <c r="I16" s="146">
        <v>13.328253999999999</v>
      </c>
      <c r="K16">
        <v>38.1</v>
      </c>
      <c r="L16">
        <v>111.73817</v>
      </c>
      <c r="M16">
        <v>34.186121</v>
      </c>
      <c r="O16">
        <v>3.9507463</v>
      </c>
      <c r="P16">
        <v>56.096468999999999</v>
      </c>
      <c r="Q16">
        <v>78.324239000000006</v>
      </c>
      <c r="R16">
        <v>10.649559</v>
      </c>
      <c r="S16">
        <v>10.581474</v>
      </c>
      <c r="T16" s="150">
        <f t="shared" si="0"/>
        <v>52.731427219999993</v>
      </c>
    </row>
    <row r="17" spans="1:20" ht="15.45" customHeight="1" x14ac:dyDescent="0.3">
      <c r="A17" s="147" t="s">
        <v>334</v>
      </c>
      <c r="B17" s="144" t="s">
        <v>348</v>
      </c>
      <c r="C17" s="145">
        <v>1.4350138000000001E-5</v>
      </c>
      <c r="D17" s="145">
        <v>1.4021572999999999E-5</v>
      </c>
      <c r="E17" s="145">
        <v>1.4583417999999999E-5</v>
      </c>
      <c r="F17" s="145">
        <v>3.6560456999999999E-5</v>
      </c>
      <c r="G17" s="146">
        <v>2.6530564000000001E-5</v>
      </c>
      <c r="H17" s="146">
        <v>1.9999999999999999E-7</v>
      </c>
      <c r="I17" s="146">
        <v>1.6334834E-6</v>
      </c>
      <c r="K17">
        <v>2.1399999999999998E-5</v>
      </c>
      <c r="L17">
        <v>5.1404365000000003E-5</v>
      </c>
      <c r="M17">
        <v>2.9343421E-4</v>
      </c>
      <c r="O17">
        <v>6.1057605000000003E-5</v>
      </c>
      <c r="P17">
        <v>1.2584324000000001E-4</v>
      </c>
      <c r="Q17">
        <v>8.0150335E-5</v>
      </c>
      <c r="R17">
        <v>2.7225583999999999E-6</v>
      </c>
      <c r="S17">
        <v>2.4871047E-6</v>
      </c>
      <c r="T17" s="150">
        <f t="shared" si="0"/>
        <v>4.9758603433333338E-5</v>
      </c>
    </row>
    <row r="18" spans="1:20" ht="15" thickBot="1" x14ac:dyDescent="0.35"/>
    <row r="19" spans="1:20" ht="86.4" x14ac:dyDescent="0.3">
      <c r="A19" s="148" t="s">
        <v>433</v>
      </c>
      <c r="B19" s="140" t="s">
        <v>401</v>
      </c>
      <c r="C19" s="149" t="s">
        <v>434</v>
      </c>
      <c r="D19" s="149" t="s">
        <v>307</v>
      </c>
      <c r="E19" s="149" t="s">
        <v>435</v>
      </c>
      <c r="F19" s="149" t="s">
        <v>308</v>
      </c>
      <c r="G19" s="149" t="s">
        <v>436</v>
      </c>
      <c r="H19" s="149" t="s">
        <v>309</v>
      </c>
      <c r="I19" s="149" t="s">
        <v>437</v>
      </c>
      <c r="J19" s="149" t="s">
        <v>438</v>
      </c>
      <c r="K19" s="149" t="s">
        <v>439</v>
      </c>
    </row>
    <row r="20" spans="1:20" x14ac:dyDescent="0.3">
      <c r="A20" s="147" t="s">
        <v>327</v>
      </c>
      <c r="B20" s="144" t="s">
        <v>336</v>
      </c>
      <c r="C20" s="150">
        <v>3.6478823E-3</v>
      </c>
      <c r="D20" s="150">
        <v>1.2249564000000001E-3</v>
      </c>
      <c r="E20" s="150">
        <v>6.2216585999999997E-4</v>
      </c>
      <c r="F20" s="150">
        <v>3.2148411999999998E-4</v>
      </c>
      <c r="G20" s="150">
        <v>1.5375068E-3</v>
      </c>
      <c r="H20" s="150">
        <v>3.5582947999999999E-3</v>
      </c>
      <c r="I20" s="150">
        <v>2.8061509000000002E-3</v>
      </c>
      <c r="J20" s="150">
        <v>4.4392117E-3</v>
      </c>
      <c r="K20" s="150">
        <v>2.5304319E-3</v>
      </c>
    </row>
    <row r="21" spans="1:20" x14ac:dyDescent="0.3">
      <c r="A21" s="147" t="s">
        <v>416</v>
      </c>
      <c r="B21" s="144" t="s">
        <v>417</v>
      </c>
      <c r="C21" s="150">
        <v>0.72583328999999996</v>
      </c>
      <c r="D21">
        <v>0.28014862000000001</v>
      </c>
      <c r="E21" s="150">
        <v>0.22307987000000001</v>
      </c>
      <c r="F21" s="150">
        <v>0.11331491</v>
      </c>
      <c r="G21" s="150">
        <v>0.36253054000000001</v>
      </c>
      <c r="H21" s="150">
        <v>0.88664869000000002</v>
      </c>
      <c r="I21" s="150">
        <v>0.45253344000000001</v>
      </c>
      <c r="J21" s="150">
        <v>0.89751596</v>
      </c>
      <c r="K21" s="150">
        <v>0.55966753000000002</v>
      </c>
    </row>
    <row r="22" spans="1:20" x14ac:dyDescent="0.3">
      <c r="A22" s="147" t="s">
        <v>418</v>
      </c>
      <c r="B22" s="144" t="s">
        <v>419</v>
      </c>
      <c r="C22" s="150">
        <v>1.2874616999999999</v>
      </c>
      <c r="D22">
        <v>0.76856268000000005</v>
      </c>
      <c r="E22" s="150">
        <v>0.62537233000000003</v>
      </c>
      <c r="F22" s="150">
        <v>0.35836921999999999</v>
      </c>
      <c r="G22" s="150">
        <v>0.65310734999999998</v>
      </c>
      <c r="H22" s="150">
        <v>1.3879363</v>
      </c>
      <c r="I22" s="150">
        <v>0.57701066999999995</v>
      </c>
      <c r="J22" s="150">
        <v>1.2892839</v>
      </c>
      <c r="K22" s="150">
        <v>1.0254532000000001</v>
      </c>
    </row>
    <row r="23" spans="1:20" ht="24" x14ac:dyDescent="0.3">
      <c r="A23" s="147" t="s">
        <v>328</v>
      </c>
      <c r="B23" s="144" t="s">
        <v>342</v>
      </c>
      <c r="C23" s="150">
        <v>1.6236636</v>
      </c>
      <c r="D23">
        <v>0.45152837000000001</v>
      </c>
      <c r="E23" s="150">
        <v>0.35914213</v>
      </c>
      <c r="F23" s="150">
        <v>0.17982459000000001</v>
      </c>
      <c r="G23" s="150">
        <v>0.59557525</v>
      </c>
      <c r="H23" s="150">
        <v>1.5658284</v>
      </c>
      <c r="I23" s="150">
        <v>0.53380563000000003</v>
      </c>
      <c r="J23" s="150">
        <v>1.6021312000000001</v>
      </c>
      <c r="K23" s="150">
        <v>1.2354611</v>
      </c>
    </row>
    <row r="24" spans="1:20" x14ac:dyDescent="0.3">
      <c r="A24" s="147" t="s">
        <v>329</v>
      </c>
      <c r="B24" s="144" t="s">
        <v>343</v>
      </c>
      <c r="C24" s="150">
        <v>2.1733149000000001E-8</v>
      </c>
      <c r="D24" s="150">
        <v>8.0276208000000007E-9</v>
      </c>
      <c r="E24" s="150">
        <v>8.3250470000000002E-9</v>
      </c>
      <c r="F24" s="150">
        <v>4.4070949999999999E-9</v>
      </c>
      <c r="G24" s="150">
        <v>9.6346188999999992E-9</v>
      </c>
      <c r="H24" s="150">
        <v>1.8789450000000002E-8</v>
      </c>
      <c r="I24" s="150">
        <v>2.1658388999999999E-8</v>
      </c>
      <c r="J24" s="150">
        <v>1.8321622999999999E-8</v>
      </c>
      <c r="K24" s="150">
        <v>1.5490060000000001E-8</v>
      </c>
    </row>
    <row r="25" spans="1:20" x14ac:dyDescent="0.3">
      <c r="A25" s="147" t="s">
        <v>420</v>
      </c>
      <c r="B25" s="144" t="s">
        <v>421</v>
      </c>
      <c r="C25" s="150">
        <v>6.8423009000000005E-4</v>
      </c>
      <c r="D25">
        <v>2.2932743E-4</v>
      </c>
      <c r="E25" s="150">
        <v>2.2062163999999999E-4</v>
      </c>
      <c r="F25" s="150">
        <v>1.1265694E-4</v>
      </c>
      <c r="G25" s="150">
        <v>3.1019153999999998E-4</v>
      </c>
      <c r="H25" s="150">
        <v>6.3446588999999999E-4</v>
      </c>
      <c r="I25" s="150">
        <v>4.3066201000000002E-4</v>
      </c>
      <c r="J25" s="150">
        <v>8.0014701000000004E-4</v>
      </c>
      <c r="K25" s="150">
        <v>5.0548309999999996E-4</v>
      </c>
    </row>
    <row r="26" spans="1:20" x14ac:dyDescent="0.3">
      <c r="A26" s="147" t="s">
        <v>422</v>
      </c>
      <c r="B26" s="144" t="s">
        <v>421</v>
      </c>
      <c r="C26" s="150">
        <v>5.4323559999999997E-4</v>
      </c>
      <c r="D26">
        <v>1.6406491E-4</v>
      </c>
      <c r="E26" s="150">
        <v>2.8026208000000001E-5</v>
      </c>
      <c r="F26" s="150">
        <v>1.3905811E-5</v>
      </c>
      <c r="G26" s="150">
        <v>2.1286041999999999E-4</v>
      </c>
      <c r="H26" s="150">
        <v>4.6793339999999999E-4</v>
      </c>
      <c r="I26" s="150">
        <v>3.0545721E-4</v>
      </c>
      <c r="J26" s="150">
        <v>7.4881564000000005E-4</v>
      </c>
      <c r="K26" s="150">
        <v>3.6443621000000002E-4</v>
      </c>
    </row>
    <row r="27" spans="1:20" x14ac:dyDescent="0.3">
      <c r="A27" s="147" t="s">
        <v>330</v>
      </c>
      <c r="B27" s="144" t="s">
        <v>344</v>
      </c>
      <c r="C27" s="150">
        <v>6.3271012E-3</v>
      </c>
      <c r="D27">
        <v>2.2049276E-3</v>
      </c>
      <c r="E27" s="150">
        <v>1.4631742999999999E-3</v>
      </c>
      <c r="F27">
        <v>8.0434484000000003E-4</v>
      </c>
      <c r="G27">
        <v>2.8218296999999999E-3</v>
      </c>
      <c r="H27">
        <v>5.9643266999999996E-3</v>
      </c>
      <c r="I27">
        <v>4.1679572999999996E-3</v>
      </c>
      <c r="J27" s="150">
        <v>7.0025434000000001E-3</v>
      </c>
      <c r="K27" s="150">
        <v>4.6142157999999999E-3</v>
      </c>
    </row>
    <row r="28" spans="1:20" x14ac:dyDescent="0.3">
      <c r="A28" s="147" t="s">
        <v>331</v>
      </c>
      <c r="B28" s="144" t="s">
        <v>345</v>
      </c>
      <c r="C28" s="150">
        <v>1.9827909999999998E-9</v>
      </c>
      <c r="D28" s="150">
        <v>9.942365700000001E-10</v>
      </c>
      <c r="E28" s="150">
        <v>8.1866290999999998E-10</v>
      </c>
      <c r="F28" s="150">
        <v>5.2913205000000005E-10</v>
      </c>
      <c r="G28" s="150">
        <v>1.1769446000000001E-9</v>
      </c>
      <c r="H28" s="150">
        <v>2.6406273999999998E-9</v>
      </c>
      <c r="I28" s="150">
        <v>7.2055898999999999E-10</v>
      </c>
      <c r="J28" s="150">
        <v>2.0433117999999998E-9</v>
      </c>
      <c r="K28" s="150">
        <v>1.5273655000000001E-9</v>
      </c>
    </row>
    <row r="29" spans="1:20" x14ac:dyDescent="0.3">
      <c r="A29" s="147" t="s">
        <v>423</v>
      </c>
      <c r="B29" s="144" t="s">
        <v>424</v>
      </c>
      <c r="C29" s="150">
        <v>5.9031856999999996E-9</v>
      </c>
      <c r="D29" s="150">
        <v>1.8806417E-9</v>
      </c>
      <c r="E29" s="150">
        <v>1.7722727E-9</v>
      </c>
      <c r="F29" s="150">
        <v>9.1855316000000001E-10</v>
      </c>
      <c r="G29" s="150">
        <v>2.4884171999999999E-9</v>
      </c>
      <c r="H29" s="150">
        <v>5.4327753000000001E-9</v>
      </c>
      <c r="I29" s="150">
        <v>3.3248453999999999E-9</v>
      </c>
      <c r="J29" s="150">
        <v>6.8831999000000004E-9</v>
      </c>
      <c r="K29" s="150">
        <v>4.1196613000000002E-9</v>
      </c>
    </row>
    <row r="30" spans="1:20" x14ac:dyDescent="0.3">
      <c r="A30" s="147" t="s">
        <v>425</v>
      </c>
      <c r="B30" s="144" t="s">
        <v>426</v>
      </c>
      <c r="C30">
        <v>0.40067137000000003</v>
      </c>
      <c r="D30">
        <v>0.11255510000000001</v>
      </c>
      <c r="E30">
        <v>0.7210046</v>
      </c>
      <c r="F30">
        <v>0.35568907</v>
      </c>
      <c r="G30">
        <v>0.14541765000000001</v>
      </c>
      <c r="H30">
        <v>0.32432507999999999</v>
      </c>
      <c r="I30">
        <v>0.17098874999999999</v>
      </c>
      <c r="J30">
        <v>0.55679109999999998</v>
      </c>
      <c r="K30">
        <v>0.22570409999999999</v>
      </c>
    </row>
    <row r="31" spans="1:20" x14ac:dyDescent="0.3">
      <c r="A31" s="147" t="s">
        <v>427</v>
      </c>
      <c r="B31" s="144" t="s">
        <v>428</v>
      </c>
      <c r="C31">
        <v>23.260292</v>
      </c>
      <c r="D31">
        <v>3.2314672999999998</v>
      </c>
      <c r="E31">
        <v>0.87163281000000004</v>
      </c>
      <c r="F31">
        <v>0.56031330999999995</v>
      </c>
      <c r="G31">
        <v>6.4757189000000004</v>
      </c>
      <c r="H31">
        <v>7.0378800000000004</v>
      </c>
      <c r="I31">
        <v>2.4458655999999999</v>
      </c>
      <c r="J31">
        <v>10.156140000000001</v>
      </c>
      <c r="K31">
        <v>9.5257166000000009</v>
      </c>
    </row>
    <row r="32" spans="1:20" x14ac:dyDescent="0.3">
      <c r="A32" s="147" t="s">
        <v>429</v>
      </c>
      <c r="B32" s="144" t="s">
        <v>430</v>
      </c>
      <c r="C32" s="150">
        <v>1.4430648000000001E-8</v>
      </c>
      <c r="D32" s="150">
        <v>5.9588307999999996E-9</v>
      </c>
      <c r="E32" s="150">
        <v>1.0713525E-8</v>
      </c>
      <c r="F32" s="150">
        <v>1.5718027000000001E-8</v>
      </c>
      <c r="G32" s="150">
        <v>6.7029450000000004E-9</v>
      </c>
      <c r="H32" s="150">
        <v>3.188802E-8</v>
      </c>
      <c r="I32" s="150">
        <v>5.7933060000000001E-9</v>
      </c>
      <c r="J32" s="150">
        <v>1.5277405999999999E-8</v>
      </c>
      <c r="K32" s="150">
        <v>1.0542432E-8</v>
      </c>
    </row>
    <row r="33" spans="1:13" x14ac:dyDescent="0.3">
      <c r="A33" s="147" t="s">
        <v>332</v>
      </c>
      <c r="B33" s="144" t="s">
        <v>431</v>
      </c>
      <c r="C33">
        <v>2.3267193999999998E-3</v>
      </c>
      <c r="D33">
        <v>7.7643289999999995E-4</v>
      </c>
      <c r="E33">
        <v>6.1203419000000002E-4</v>
      </c>
      <c r="F33">
        <v>2.6840151E-4</v>
      </c>
      <c r="G33">
        <v>9.6548347999999998E-4</v>
      </c>
      <c r="H33">
        <v>2.7331788E-3</v>
      </c>
      <c r="I33">
        <v>1.1341077999999999E-2</v>
      </c>
      <c r="J33">
        <v>2.3383584000000002E-3</v>
      </c>
      <c r="K33">
        <v>1.7795133E-3</v>
      </c>
    </row>
    <row r="34" spans="1:13" x14ac:dyDescent="0.3">
      <c r="A34" s="147" t="s">
        <v>432</v>
      </c>
      <c r="B34" s="144" t="s">
        <v>347</v>
      </c>
      <c r="C34">
        <v>10.483675</v>
      </c>
      <c r="D34">
        <v>3.0762284000000002</v>
      </c>
      <c r="E34">
        <v>14.745875</v>
      </c>
      <c r="F34">
        <v>7.2786403000000002</v>
      </c>
      <c r="G34">
        <v>3.9775566000000002</v>
      </c>
      <c r="H34">
        <v>8.8543120999999996</v>
      </c>
      <c r="I34">
        <v>5.5047760999999999</v>
      </c>
      <c r="J34">
        <v>14.334825</v>
      </c>
      <c r="K34">
        <v>6.3634757999999998</v>
      </c>
    </row>
    <row r="35" spans="1:13" ht="24" x14ac:dyDescent="0.3">
      <c r="A35" s="147" t="s">
        <v>334</v>
      </c>
      <c r="B35" s="144" t="s">
        <v>348</v>
      </c>
      <c r="C35" s="150">
        <v>2.5126018000000001E-6</v>
      </c>
      <c r="D35" s="150">
        <v>7.6997629000000001E-7</v>
      </c>
      <c r="E35" s="150">
        <v>1.2266718E-6</v>
      </c>
      <c r="F35" s="150">
        <v>7.2962790999999999E-7</v>
      </c>
      <c r="G35" s="150">
        <v>9.4885469E-7</v>
      </c>
      <c r="H35" s="150">
        <v>2.2829616E-6</v>
      </c>
      <c r="I35" s="150">
        <v>5.9805712000000003E-7</v>
      </c>
      <c r="J35" s="150">
        <v>2.2322412999999999E-6</v>
      </c>
      <c r="K35" s="150">
        <v>1.8375598000000001E-6</v>
      </c>
    </row>
    <row r="38" spans="1:13" ht="15" thickBot="1" x14ac:dyDescent="0.35">
      <c r="C38" t="s">
        <v>440</v>
      </c>
      <c r="E38" t="s">
        <v>441</v>
      </c>
      <c r="G38" t="s">
        <v>441</v>
      </c>
      <c r="I38" t="s">
        <v>442</v>
      </c>
    </row>
    <row r="39" spans="1:13" ht="21" x14ac:dyDescent="0.3">
      <c r="A39" s="148" t="s">
        <v>443</v>
      </c>
      <c r="C39" s="151" t="s">
        <v>444</v>
      </c>
      <c r="E39" s="151" t="s">
        <v>306</v>
      </c>
      <c r="G39" s="151" t="s">
        <v>16</v>
      </c>
      <c r="I39" s="151" t="s">
        <v>445</v>
      </c>
      <c r="J39" s="151" t="s">
        <v>446</v>
      </c>
      <c r="M39" s="2" t="s">
        <v>243</v>
      </c>
    </row>
    <row r="40" spans="1:13" x14ac:dyDescent="0.3">
      <c r="A40" s="143" t="s">
        <v>327</v>
      </c>
      <c r="B40" s="144" t="s">
        <v>336</v>
      </c>
      <c r="C40" s="152">
        <f>MAX(C2:S2)</f>
        <v>7.6010920000000004</v>
      </c>
      <c r="E40" s="152">
        <f>MAX(C20:K20)</f>
        <v>4.4392117E-3</v>
      </c>
      <c r="G40" s="152">
        <f>MAX(DGbaseF2V!C5:AF5)</f>
        <v>4.1799457000000002</v>
      </c>
      <c r="I40" s="152">
        <f>IF(DGcalcul!$G$14="","0",MAX(C59:G59))</f>
        <v>3.6478823E-3</v>
      </c>
      <c r="J40" s="152">
        <f>IF(DGcalcul!$I$14="","0",MAX(C59:G59))</f>
        <v>3.6478823E-3</v>
      </c>
      <c r="M40" s="136">
        <f t="shared" ref="M40:M55" si="1">SUM(C40,E40,G40,I40)</f>
        <v>11.789124794000001</v>
      </c>
    </row>
    <row r="41" spans="1:13" x14ac:dyDescent="0.3">
      <c r="A41" s="147" t="s">
        <v>416</v>
      </c>
      <c r="B41" s="144" t="s">
        <v>417</v>
      </c>
      <c r="C41" s="152">
        <f t="shared" ref="C41:C55" si="2">MAX(C3:S3)</f>
        <v>4.0000000000000003E-5</v>
      </c>
      <c r="E41" s="152">
        <f t="shared" ref="E41:E55" si="3">MAX(C21:K21)</f>
        <v>0.89751596</v>
      </c>
      <c r="G41" s="152">
        <f>MAX(DGbaseF2V!C6:AF6)</f>
        <v>1.5176476E-5</v>
      </c>
      <c r="I41" s="152">
        <f>IF(DGcalcul!$G$14="","0",MAX(C60:G60))</f>
        <v>0.72583328999999996</v>
      </c>
      <c r="J41" s="152">
        <f>IF(DGcalcul!$I$14="","0",MAX(C60:G60))</f>
        <v>0.72583328999999996</v>
      </c>
      <c r="M41" s="136">
        <f t="shared" si="1"/>
        <v>1.6234044264760001</v>
      </c>
    </row>
    <row r="42" spans="1:13" x14ac:dyDescent="0.3">
      <c r="A42" s="147" t="s">
        <v>418</v>
      </c>
      <c r="B42" s="144" t="s">
        <v>419</v>
      </c>
      <c r="C42" s="152">
        <f t="shared" si="2"/>
        <v>0.50736205000000001</v>
      </c>
      <c r="E42" s="152">
        <f t="shared" si="3"/>
        <v>1.3879363</v>
      </c>
      <c r="G42" s="152">
        <f>MAX(DGbaseF2V!C7:AF7)</f>
        <v>0.25370590999999998</v>
      </c>
      <c r="I42" s="152">
        <f>IF(DGcalcul!$G$14="","0",MAX(C61:G61))</f>
        <v>1.2874616999999999</v>
      </c>
      <c r="J42" s="152">
        <f>IF(DGcalcul!$I$14="","0",MAX(C61:G61))</f>
        <v>1.2874616999999999</v>
      </c>
      <c r="M42" s="136">
        <f t="shared" si="1"/>
        <v>3.4364659599999996</v>
      </c>
    </row>
    <row r="43" spans="1:13" ht="24" x14ac:dyDescent="0.3">
      <c r="A43" s="143" t="s">
        <v>328</v>
      </c>
      <c r="B43" s="144" t="s">
        <v>342</v>
      </c>
      <c r="C43" s="152">
        <f t="shared" si="2"/>
        <v>2.6069821E-2</v>
      </c>
      <c r="E43" s="152">
        <f t="shared" si="3"/>
        <v>1.6236636</v>
      </c>
      <c r="G43" s="152">
        <f>MAX(DGbaseF2V!C8:AF8)</f>
        <v>1.1066115E-2</v>
      </c>
      <c r="I43" s="152">
        <f>IF(DGcalcul!$G$14="","0",MAX(C62:G62))</f>
        <v>1.6236636</v>
      </c>
      <c r="J43" s="152">
        <f>IF(DGcalcul!$I$14="","0",MAX(C62:G62))</f>
        <v>1.6236636</v>
      </c>
      <c r="M43" s="136">
        <f t="shared" si="1"/>
        <v>3.2844631360000003</v>
      </c>
    </row>
    <row r="44" spans="1:13" x14ac:dyDescent="0.3">
      <c r="A44" s="143" t="s">
        <v>329</v>
      </c>
      <c r="B44" s="144" t="s">
        <v>343</v>
      </c>
      <c r="C44" s="152">
        <f>MAX(C6:S6)</f>
        <v>1.1302056E-6</v>
      </c>
      <c r="E44" s="152">
        <f t="shared" si="3"/>
        <v>2.1733149000000001E-8</v>
      </c>
      <c r="G44" s="152">
        <f>MAX(DGbaseF2V!C9:AF9)</f>
        <v>1.4795795000000001E-7</v>
      </c>
      <c r="I44" s="152">
        <f>IF(DGcalcul!$G$14="","0",MAX(C63:G63))</f>
        <v>2.1733149000000001E-8</v>
      </c>
      <c r="J44" s="152">
        <f>IF(DGcalcul!$I$14="","0",MAX(C63:G63))</f>
        <v>2.1733149000000001E-8</v>
      </c>
      <c r="M44" s="136">
        <f t="shared" si="1"/>
        <v>1.321629848E-6</v>
      </c>
    </row>
    <row r="45" spans="1:13" x14ac:dyDescent="0.3">
      <c r="A45" s="147" t="s">
        <v>420</v>
      </c>
      <c r="B45" s="144" t="s">
        <v>421</v>
      </c>
      <c r="C45" s="152">
        <f t="shared" si="2"/>
        <v>5.0859263999999997E-7</v>
      </c>
      <c r="E45" s="152">
        <f t="shared" si="3"/>
        <v>8.0014701000000004E-4</v>
      </c>
      <c r="G45" s="152">
        <f>MAX(DGbaseF2V!C10:AF10)</f>
        <v>3.8395443E-8</v>
      </c>
      <c r="I45" s="152">
        <f>IF(DGcalcul!$G$14="","0",MAX(C64:G64))</f>
        <v>6.8423009000000005E-4</v>
      </c>
      <c r="J45" s="152">
        <f>IF(DGcalcul!$I$14="","0",MAX(C64:G64))</f>
        <v>6.8423009000000005E-4</v>
      </c>
      <c r="M45" s="136">
        <f t="shared" si="1"/>
        <v>1.484924088083E-3</v>
      </c>
    </row>
    <row r="46" spans="1:13" x14ac:dyDescent="0.3">
      <c r="A46" s="147" t="s">
        <v>422</v>
      </c>
      <c r="B46" s="144" t="s">
        <v>421</v>
      </c>
      <c r="C46" s="152">
        <f t="shared" si="2"/>
        <v>1.2804058000000001E-7</v>
      </c>
      <c r="E46" s="152">
        <f t="shared" si="3"/>
        <v>7.4881564000000005E-4</v>
      </c>
      <c r="G46" s="152">
        <f>MAX(DGbaseF2V!C11:AF11)</f>
        <v>2.1402501E-9</v>
      </c>
      <c r="I46" s="152">
        <f>IF(DGcalcul!$G$14="","0",MAX(C65:G65))</f>
        <v>5.4323559999999997E-4</v>
      </c>
      <c r="J46" s="152">
        <f>IF(DGcalcul!$I$14="","0",MAX(C65:G65))</f>
        <v>5.4323559999999997E-4</v>
      </c>
      <c r="M46" s="136">
        <f t="shared" si="1"/>
        <v>1.2921814208301E-3</v>
      </c>
    </row>
    <row r="47" spans="1:13" x14ac:dyDescent="0.3">
      <c r="A47" s="147" t="s">
        <v>330</v>
      </c>
      <c r="B47" s="144" t="s">
        <v>344</v>
      </c>
      <c r="C47" s="152">
        <f t="shared" si="2"/>
        <v>4.5411606E-2</v>
      </c>
      <c r="E47" s="152">
        <f t="shared" si="3"/>
        <v>7.0025434000000001E-3</v>
      </c>
      <c r="G47" s="152">
        <f>MAX(DGbaseF2V!C12:AF12)</f>
        <v>1.5203964E-2</v>
      </c>
      <c r="I47" s="152">
        <f>IF(DGcalcul!$G$14="","0",MAX(C66:G66))</f>
        <v>6.3271012E-3</v>
      </c>
      <c r="J47" s="152">
        <f>IF(DGcalcul!$I$14="","0",MAX(C66:G66))</f>
        <v>6.3271012E-3</v>
      </c>
      <c r="M47" s="136">
        <f t="shared" si="1"/>
        <v>7.3945214600000003E-2</v>
      </c>
    </row>
    <row r="48" spans="1:13" x14ac:dyDescent="0.3">
      <c r="A48" s="147" t="s">
        <v>331</v>
      </c>
      <c r="B48" s="144" t="s">
        <v>345</v>
      </c>
      <c r="C48" s="152">
        <f t="shared" si="2"/>
        <v>2.4437203E-3</v>
      </c>
      <c r="E48" s="152">
        <f t="shared" si="3"/>
        <v>2.6406273999999998E-9</v>
      </c>
      <c r="G48" s="152">
        <f>MAX(DGbaseF2V!C13:AF13)</f>
        <v>6.2805431000000002E-4</v>
      </c>
      <c r="I48" s="152">
        <f>IF(DGcalcul!$G$14="","0",MAX(C67:G67))</f>
        <v>1.9827909999999998E-9</v>
      </c>
      <c r="J48" s="152">
        <f>IF(DGcalcul!$I$14="","0",MAX(C67:G67))</f>
        <v>1.9827909999999998E-9</v>
      </c>
      <c r="M48" s="136">
        <f t="shared" si="1"/>
        <v>3.0717792334183998E-3</v>
      </c>
    </row>
    <row r="49" spans="1:13" x14ac:dyDescent="0.3">
      <c r="A49" s="147" t="s">
        <v>423</v>
      </c>
      <c r="B49" s="144" t="s">
        <v>424</v>
      </c>
      <c r="C49" s="152">
        <f t="shared" si="2"/>
        <v>8.0780694000000004E-3</v>
      </c>
      <c r="E49" s="152">
        <f t="shared" si="3"/>
        <v>6.8831999000000004E-9</v>
      </c>
      <c r="G49" s="152">
        <f>MAX(DGbaseF2V!C14:AF14)</f>
        <v>3.3925188E-3</v>
      </c>
      <c r="I49" s="152">
        <f>IF(DGcalcul!$G$14="","0",MAX(C68:G68))</f>
        <v>5.9031856999999996E-9</v>
      </c>
      <c r="J49" s="152">
        <f>IF(DGcalcul!$I$14="","0",MAX(C68:G68))</f>
        <v>5.9031856999999996E-9</v>
      </c>
      <c r="M49" s="136">
        <f t="shared" si="1"/>
        <v>1.1470600986385603E-2</v>
      </c>
    </row>
    <row r="50" spans="1:13" x14ac:dyDescent="0.3">
      <c r="A50" s="147" t="s">
        <v>425</v>
      </c>
      <c r="B50" s="144" t="s">
        <v>426</v>
      </c>
      <c r="C50" s="152">
        <f t="shared" si="2"/>
        <v>8.4411696999999994E-2</v>
      </c>
      <c r="E50" s="152">
        <f t="shared" si="3"/>
        <v>0.7210046</v>
      </c>
      <c r="G50" s="152">
        <f>MAX(DGbaseF2V!C15:AF15)</f>
        <v>2.8557178999999999E-2</v>
      </c>
      <c r="I50" s="152">
        <f>IF(DGcalcul!$G$14="","0",MAX(C69:G69))</f>
        <v>0.7210046</v>
      </c>
      <c r="J50" s="152">
        <f>IF(DGcalcul!$I$14="","0",MAX(C69:G69))</f>
        <v>0.7210046</v>
      </c>
      <c r="M50" s="136">
        <f t="shared" si="1"/>
        <v>1.5549780759999998</v>
      </c>
    </row>
    <row r="51" spans="1:13" x14ac:dyDescent="0.3">
      <c r="A51" s="147" t="s">
        <v>427</v>
      </c>
      <c r="B51" s="144" t="s">
        <v>428</v>
      </c>
      <c r="C51" s="152">
        <f t="shared" si="2"/>
        <v>180.0052500763</v>
      </c>
      <c r="E51" s="152">
        <f t="shared" si="3"/>
        <v>23.260292</v>
      </c>
      <c r="G51" s="152">
        <f>MAX(DGbaseF2V!C16:AF16)</f>
        <v>45.408168000000003</v>
      </c>
      <c r="I51" s="152">
        <f>IF(DGcalcul!$G$14="","0",MAX(C70:G70))</f>
        <v>23.260292</v>
      </c>
      <c r="J51" s="152">
        <f>IF(DGcalcul!$I$14="","0",MAX(C70:G70))</f>
        <v>23.260292</v>
      </c>
      <c r="M51" s="136">
        <f t="shared" si="1"/>
        <v>271.93400207629998</v>
      </c>
    </row>
    <row r="52" spans="1:13" x14ac:dyDescent="0.3">
      <c r="A52" s="147" t="s">
        <v>429</v>
      </c>
      <c r="B52" s="144" t="s">
        <v>430</v>
      </c>
      <c r="C52" s="152">
        <f t="shared" si="2"/>
        <v>188.66300000000001</v>
      </c>
      <c r="E52" s="152">
        <f t="shared" si="3"/>
        <v>3.188802E-8</v>
      </c>
      <c r="G52" s="152">
        <f>MAX(DGbaseF2V!C17:AF17)</f>
        <v>8.1898593999999996</v>
      </c>
      <c r="I52" s="152">
        <f>IF(DGcalcul!$G$14="","0",MAX(C71:G71))</f>
        <v>1.5718027000000001E-8</v>
      </c>
      <c r="J52" s="152">
        <f>IF(DGcalcul!$I$14="","0",MAX(C71:G71))</f>
        <v>1.5718027000000001E-8</v>
      </c>
      <c r="M52" s="136">
        <f t="shared" si="1"/>
        <v>196.85285944760605</v>
      </c>
    </row>
    <row r="53" spans="1:13" x14ac:dyDescent="0.3">
      <c r="A53" s="147" t="s">
        <v>332</v>
      </c>
      <c r="B53" s="144" t="s">
        <v>431</v>
      </c>
      <c r="C53" s="152">
        <f t="shared" si="2"/>
        <v>5.48</v>
      </c>
      <c r="E53" s="152">
        <f t="shared" si="3"/>
        <v>1.1341077999999999E-2</v>
      </c>
      <c r="G53" s="152">
        <f>MAX(DGbaseF2V!C18:AF18)</f>
        <v>1.5193665000000001</v>
      </c>
      <c r="I53" s="152">
        <f>IF(DGcalcul!$G$14="","0",MAX(C72:G72))</f>
        <v>2.3267193999999998E-3</v>
      </c>
      <c r="J53" s="152">
        <f>IF(DGcalcul!$I$14="","0",MAX(C72:G72))</f>
        <v>2.3267193999999998E-3</v>
      </c>
      <c r="M53" s="136">
        <f t="shared" si="1"/>
        <v>7.0130342974000008</v>
      </c>
    </row>
    <row r="54" spans="1:13" x14ac:dyDescent="0.3">
      <c r="A54" s="147" t="s">
        <v>432</v>
      </c>
      <c r="B54" s="144" t="s">
        <v>347</v>
      </c>
      <c r="C54" s="152">
        <f t="shared" si="2"/>
        <v>120</v>
      </c>
      <c r="E54" s="152">
        <f t="shared" si="3"/>
        <v>14.745875</v>
      </c>
      <c r="G54" s="152">
        <f>MAX(DGbaseF2V!C19:AF19)</f>
        <v>76.132881999999995</v>
      </c>
      <c r="I54" s="152">
        <f>IF(DGcalcul!$G$14="","0",MAX(C73:G73))</f>
        <v>14.745875</v>
      </c>
      <c r="J54" s="152">
        <f>IF(DGcalcul!$I$14="","0",MAX(C73:G73))</f>
        <v>14.745875</v>
      </c>
      <c r="M54" s="136">
        <f t="shared" si="1"/>
        <v>225.62463200000002</v>
      </c>
    </row>
    <row r="55" spans="1:13" ht="24" x14ac:dyDescent="0.3">
      <c r="A55" s="147" t="s">
        <v>334</v>
      </c>
      <c r="B55" s="144" t="s">
        <v>348</v>
      </c>
      <c r="C55" s="152">
        <f t="shared" si="2"/>
        <v>2.9343421E-4</v>
      </c>
      <c r="E55" s="152">
        <f t="shared" si="3"/>
        <v>2.5126018000000001E-6</v>
      </c>
      <c r="G55" s="152">
        <f>MAX(DGbaseF2V!C20:AF20)</f>
        <v>3.6591063000000002E-5</v>
      </c>
      <c r="I55" s="152">
        <f>IF(DGcalcul!$G$14="","0",MAX(C74:G74))</f>
        <v>2.5126018000000001E-6</v>
      </c>
      <c r="J55" s="152">
        <f>IF(DGcalcul!$I$14="","0",MAX(C74:G74))</f>
        <v>2.5126018000000001E-6</v>
      </c>
      <c r="M55" s="136">
        <f t="shared" si="1"/>
        <v>3.3505047660000001E-4</v>
      </c>
    </row>
    <row r="57" spans="1:13" ht="15" thickBot="1" x14ac:dyDescent="0.35"/>
    <row r="58" spans="1:13" ht="61.95" customHeight="1" x14ac:dyDescent="0.3">
      <c r="A58" s="148" t="s">
        <v>447</v>
      </c>
      <c r="B58" s="140" t="s">
        <v>401</v>
      </c>
      <c r="C58" s="153" t="s">
        <v>315</v>
      </c>
      <c r="D58" s="153" t="s">
        <v>822</v>
      </c>
      <c r="E58" s="153" t="s">
        <v>448</v>
      </c>
      <c r="F58" s="153" t="s">
        <v>449</v>
      </c>
      <c r="G58" s="153" t="s">
        <v>613</v>
      </c>
      <c r="H58" s="154"/>
      <c r="I58" s="521" t="s">
        <v>805</v>
      </c>
      <c r="J58" s="521"/>
    </row>
    <row r="59" spans="1:13" x14ac:dyDescent="0.3">
      <c r="A59" s="147" t="s">
        <v>327</v>
      </c>
      <c r="B59" s="144" t="s">
        <v>336</v>
      </c>
      <c r="C59" s="150">
        <v>3.6478823E-3</v>
      </c>
      <c r="D59" s="150">
        <v>1.2249564000000001E-3</v>
      </c>
      <c r="E59" s="150">
        <v>6.2216585999999997E-4</v>
      </c>
      <c r="F59" s="150">
        <v>3.2148411999999998E-4</v>
      </c>
      <c r="G59" s="150">
        <v>1.5375068E-3</v>
      </c>
      <c r="H59" s="518" t="s">
        <v>450</v>
      </c>
    </row>
    <row r="60" spans="1:13" x14ac:dyDescent="0.3">
      <c r="A60" s="147" t="s">
        <v>416</v>
      </c>
      <c r="B60" s="144" t="s">
        <v>417</v>
      </c>
      <c r="C60" s="150">
        <v>0.72583328999999996</v>
      </c>
      <c r="D60" s="150">
        <v>0.28014862000000001</v>
      </c>
      <c r="E60" s="150">
        <v>0.22307987000000001</v>
      </c>
      <c r="F60" s="150">
        <v>0.11331491</v>
      </c>
      <c r="G60" s="150">
        <v>0.36253054000000001</v>
      </c>
      <c r="H60" s="518"/>
    </row>
    <row r="61" spans="1:13" x14ac:dyDescent="0.3">
      <c r="A61" s="147" t="s">
        <v>418</v>
      </c>
      <c r="B61" s="144" t="s">
        <v>419</v>
      </c>
      <c r="C61" s="150">
        <v>1.2874616999999999</v>
      </c>
      <c r="D61" s="150">
        <v>0.76856268000000005</v>
      </c>
      <c r="E61" s="150">
        <v>0.62537233000000003</v>
      </c>
      <c r="F61" s="150">
        <v>0.35836921999999999</v>
      </c>
      <c r="G61" s="150">
        <v>0.65310734999999998</v>
      </c>
      <c r="H61" s="518"/>
    </row>
    <row r="62" spans="1:13" ht="24" x14ac:dyDescent="0.3">
      <c r="A62" s="147" t="s">
        <v>328</v>
      </c>
      <c r="B62" s="144" t="s">
        <v>342</v>
      </c>
      <c r="C62" s="150">
        <v>1.6236636</v>
      </c>
      <c r="D62" s="150">
        <v>0.45152837000000001</v>
      </c>
      <c r="E62" s="150">
        <v>0.35914213</v>
      </c>
      <c r="F62" s="150">
        <v>0.17982459000000001</v>
      </c>
      <c r="G62" s="150">
        <v>0.59557525</v>
      </c>
      <c r="H62" s="518"/>
    </row>
    <row r="63" spans="1:13" x14ac:dyDescent="0.3">
      <c r="A63" s="147" t="s">
        <v>329</v>
      </c>
      <c r="B63" s="144" t="s">
        <v>343</v>
      </c>
      <c r="C63" s="150">
        <v>2.1733149000000001E-8</v>
      </c>
      <c r="D63" s="150">
        <v>8.0276208000000007E-9</v>
      </c>
      <c r="E63" s="150">
        <v>8.3250470000000002E-9</v>
      </c>
      <c r="F63" s="150">
        <v>4.4070949999999999E-9</v>
      </c>
      <c r="G63" s="150">
        <v>9.6346188999999992E-9</v>
      </c>
      <c r="H63" s="518"/>
    </row>
    <row r="64" spans="1:13" x14ac:dyDescent="0.3">
      <c r="A64" s="147" t="s">
        <v>420</v>
      </c>
      <c r="B64" s="144" t="s">
        <v>421</v>
      </c>
      <c r="C64" s="150">
        <v>6.8423009000000005E-4</v>
      </c>
      <c r="D64" s="150">
        <v>2.2932743E-4</v>
      </c>
      <c r="E64" s="150">
        <v>2.2062163999999999E-4</v>
      </c>
      <c r="F64" s="150">
        <v>1.1265694E-4</v>
      </c>
      <c r="G64" s="150">
        <v>3.1019153999999998E-4</v>
      </c>
      <c r="H64" s="518"/>
    </row>
    <row r="65" spans="1:10" x14ac:dyDescent="0.3">
      <c r="A65" s="147" t="s">
        <v>422</v>
      </c>
      <c r="B65" s="144" t="s">
        <v>421</v>
      </c>
      <c r="C65" s="150">
        <v>5.4323559999999997E-4</v>
      </c>
      <c r="D65" s="150">
        <v>1.6406491E-4</v>
      </c>
      <c r="E65" s="150">
        <v>2.8026208000000001E-5</v>
      </c>
      <c r="F65" s="150">
        <v>1.3905811E-5</v>
      </c>
      <c r="G65" s="150">
        <v>2.1286041999999999E-4</v>
      </c>
      <c r="H65" s="518"/>
    </row>
    <row r="66" spans="1:10" x14ac:dyDescent="0.3">
      <c r="A66" s="147" t="s">
        <v>330</v>
      </c>
      <c r="B66" s="144" t="s">
        <v>344</v>
      </c>
      <c r="C66" s="150">
        <v>6.3271012E-3</v>
      </c>
      <c r="D66" s="150">
        <v>2.2049276E-3</v>
      </c>
      <c r="E66" s="150">
        <v>1.4631742999999999E-3</v>
      </c>
      <c r="F66" s="150">
        <v>8.0434484000000003E-4</v>
      </c>
      <c r="G66" s="150">
        <v>2.8218296999999999E-3</v>
      </c>
      <c r="H66" s="518"/>
    </row>
    <row r="67" spans="1:10" x14ac:dyDescent="0.3">
      <c r="A67" s="147" t="s">
        <v>331</v>
      </c>
      <c r="B67" s="144" t="s">
        <v>345</v>
      </c>
      <c r="C67" s="150">
        <v>1.9827909999999998E-9</v>
      </c>
      <c r="D67" s="150">
        <v>9.942365700000001E-10</v>
      </c>
      <c r="E67" s="150">
        <v>8.1866290999999998E-10</v>
      </c>
      <c r="F67" s="150">
        <v>5.2913205000000005E-10</v>
      </c>
      <c r="G67" s="150">
        <v>1.1769446000000001E-9</v>
      </c>
      <c r="H67" s="518"/>
    </row>
    <row r="68" spans="1:10" x14ac:dyDescent="0.3">
      <c r="A68" s="147" t="s">
        <v>423</v>
      </c>
      <c r="B68" s="144" t="s">
        <v>424</v>
      </c>
      <c r="C68" s="150">
        <v>5.9031856999999996E-9</v>
      </c>
      <c r="D68" s="150">
        <v>1.8806417E-9</v>
      </c>
      <c r="E68" s="150">
        <v>1.7722727E-9</v>
      </c>
      <c r="F68" s="150">
        <v>9.1855316000000001E-10</v>
      </c>
      <c r="G68" s="150">
        <v>2.4884171999999999E-9</v>
      </c>
      <c r="H68" s="518"/>
    </row>
    <row r="69" spans="1:10" x14ac:dyDescent="0.3">
      <c r="A69" s="147" t="s">
        <v>425</v>
      </c>
      <c r="B69" s="144" t="s">
        <v>426</v>
      </c>
      <c r="C69" s="150">
        <v>0.40067137000000003</v>
      </c>
      <c r="D69" s="150">
        <v>0.11255510000000001</v>
      </c>
      <c r="E69" s="150">
        <v>0.7210046</v>
      </c>
      <c r="F69" s="150">
        <v>0.35568907</v>
      </c>
      <c r="G69" s="150">
        <v>0.14541765000000001</v>
      </c>
      <c r="H69" s="518"/>
    </row>
    <row r="70" spans="1:10" x14ac:dyDescent="0.3">
      <c r="A70" s="147" t="s">
        <v>427</v>
      </c>
      <c r="B70" s="144" t="s">
        <v>428</v>
      </c>
      <c r="C70" s="150">
        <v>23.260292</v>
      </c>
      <c r="D70" s="150">
        <v>3.2314672999999998</v>
      </c>
      <c r="E70" s="150">
        <v>0.87163281000000004</v>
      </c>
      <c r="F70" s="150">
        <v>0.56031330999999995</v>
      </c>
      <c r="G70" s="150">
        <v>6.4757189000000004</v>
      </c>
      <c r="H70" s="518"/>
    </row>
    <row r="71" spans="1:10" x14ac:dyDescent="0.3">
      <c r="A71" s="147" t="s">
        <v>429</v>
      </c>
      <c r="B71" s="144" t="s">
        <v>430</v>
      </c>
      <c r="C71" s="150">
        <v>1.4430648000000001E-8</v>
      </c>
      <c r="D71" s="150">
        <v>5.9588307999999996E-9</v>
      </c>
      <c r="E71" s="150">
        <v>1.0713525E-8</v>
      </c>
      <c r="F71" s="150">
        <v>1.5718027000000001E-8</v>
      </c>
      <c r="G71" s="150">
        <v>6.7029450000000004E-9</v>
      </c>
      <c r="H71" s="518"/>
    </row>
    <row r="72" spans="1:10" x14ac:dyDescent="0.3">
      <c r="A72" s="147" t="s">
        <v>332</v>
      </c>
      <c r="B72" s="144" t="s">
        <v>431</v>
      </c>
      <c r="C72" s="150">
        <v>2.3267193999999998E-3</v>
      </c>
      <c r="D72" s="150">
        <v>7.7643289999999995E-4</v>
      </c>
      <c r="E72" s="150">
        <v>6.1203419000000002E-4</v>
      </c>
      <c r="F72" s="150">
        <v>2.6840151E-4</v>
      </c>
      <c r="G72" s="150">
        <v>9.6548347999999998E-4</v>
      </c>
      <c r="H72" s="518"/>
    </row>
    <row r="73" spans="1:10" x14ac:dyDescent="0.3">
      <c r="A73" s="147" t="s">
        <v>432</v>
      </c>
      <c r="B73" s="144" t="s">
        <v>347</v>
      </c>
      <c r="C73" s="150">
        <v>10.483675</v>
      </c>
      <c r="D73" s="150">
        <v>3.0762284000000002</v>
      </c>
      <c r="E73" s="150">
        <v>14.745875</v>
      </c>
      <c r="F73" s="150">
        <v>7.2786403000000002</v>
      </c>
      <c r="G73" s="150">
        <v>3.9775566000000002</v>
      </c>
      <c r="H73" s="518"/>
    </row>
    <row r="74" spans="1:10" ht="24" x14ac:dyDescent="0.3">
      <c r="A74" s="147" t="s">
        <v>334</v>
      </c>
      <c r="B74" s="144" t="s">
        <v>348</v>
      </c>
      <c r="C74" s="150">
        <v>2.5126018000000001E-6</v>
      </c>
      <c r="D74" s="150">
        <v>7.6997629000000001E-7</v>
      </c>
      <c r="E74" s="150">
        <v>1.2266718E-6</v>
      </c>
      <c r="F74" s="150">
        <v>7.2962790999999999E-7</v>
      </c>
      <c r="G74" s="150">
        <v>9.4885469E-7</v>
      </c>
      <c r="H74" s="518"/>
    </row>
    <row r="77" spans="1:10" x14ac:dyDescent="0.3">
      <c r="A77" s="519" t="s">
        <v>451</v>
      </c>
      <c r="B77" s="519"/>
      <c r="C77" s="519"/>
      <c r="D77" s="519"/>
    </row>
    <row r="78" spans="1:10" x14ac:dyDescent="0.3">
      <c r="B78" s="155" t="str">
        <f>DGcalcul!E6</f>
        <v>Tritan TX1001 production {USA}</v>
      </c>
      <c r="C78" s="2" t="str">
        <f>DGcalcul!G6</f>
        <v>LDPE</v>
      </c>
      <c r="D78" s="2" t="str">
        <f>DGcalcul!I6</f>
        <v>PET</v>
      </c>
      <c r="E78" s="2" t="str">
        <f>DGcalcul!K23</f>
        <v>Product</v>
      </c>
      <c r="F78" s="520"/>
      <c r="I78" t="s">
        <v>403</v>
      </c>
      <c r="J78">
        <f>HLOOKUP(I78,B78:E81,2)</f>
        <v>0.3</v>
      </c>
    </row>
    <row r="79" spans="1:10" x14ac:dyDescent="0.3">
      <c r="A79" s="156" t="s">
        <v>320</v>
      </c>
      <c r="B79" s="157">
        <f>DGcalcul!E24</f>
        <v>0.5</v>
      </c>
      <c r="C79" s="157">
        <f>DGcalcul!G24</f>
        <v>0.75</v>
      </c>
      <c r="D79" s="157">
        <f>DGcalcul!I24</f>
        <v>0.3</v>
      </c>
      <c r="E79" s="157">
        <f>DGcalcul!K24</f>
        <v>0</v>
      </c>
      <c r="F79" s="520"/>
    </row>
    <row r="80" spans="1:10" x14ac:dyDescent="0.3">
      <c r="A80" s="156" t="s">
        <v>321</v>
      </c>
      <c r="B80" s="157">
        <f>DGcalcul!E25</f>
        <v>0.5</v>
      </c>
      <c r="C80" s="157">
        <f>DGcalcul!G25</f>
        <v>0.25</v>
      </c>
      <c r="D80" s="157">
        <f>DGcalcul!I25</f>
        <v>0.7</v>
      </c>
      <c r="E80" s="157">
        <f>DGcalcul!K25</f>
        <v>0</v>
      </c>
      <c r="F80" s="520"/>
    </row>
    <row r="81" spans="1:6" x14ac:dyDescent="0.3">
      <c r="A81" s="156" t="s">
        <v>322</v>
      </c>
      <c r="B81" s="157">
        <f>DGcalcul!E26</f>
        <v>0</v>
      </c>
      <c r="C81" s="157">
        <f>DGcalcul!G26</f>
        <v>0</v>
      </c>
      <c r="D81" s="157">
        <f>DGcalcul!I26</f>
        <v>0</v>
      </c>
      <c r="E81" s="157">
        <f>DGcalcul!K26</f>
        <v>0</v>
      </c>
      <c r="F81" s="520"/>
    </row>
  </sheetData>
  <mergeCells count="4">
    <mergeCell ref="H59:H74"/>
    <mergeCell ref="A77:D77"/>
    <mergeCell ref="F78:F81"/>
    <mergeCell ref="I58:J58"/>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21D77-019D-414C-B74C-8B3A5FCB0B62}">
  <sheetPr>
    <tabColor theme="9"/>
  </sheetPr>
  <dimension ref="A1:AO124"/>
  <sheetViews>
    <sheetView topLeftCell="AC1" zoomScale="85" zoomScaleNormal="85" workbookViewId="0">
      <pane ySplit="5" topLeftCell="A6" activePane="bottomLeft" state="frozen"/>
      <selection activeCell="M24" sqref="M24"/>
      <selection pane="bottomLeft" activeCell="M24" sqref="M24"/>
    </sheetView>
  </sheetViews>
  <sheetFormatPr defaultColWidth="11.44140625" defaultRowHeight="14.4" outlineLevelRow="1" x14ac:dyDescent="0.3"/>
  <cols>
    <col min="1" max="1" width="29.6640625" bestFit="1" customWidth="1"/>
    <col min="2" max="2" width="11.44140625" style="159"/>
    <col min="3" max="3" width="25.44140625" style="159" bestFit="1" customWidth="1"/>
    <col min="4" max="4" width="31.77734375" bestFit="1" customWidth="1"/>
    <col min="5" max="5" width="12.44140625" customWidth="1"/>
    <col min="7" max="7" width="14.109375" bestFit="1" customWidth="1"/>
    <col min="8" max="8" width="18.6640625" style="270" customWidth="1"/>
    <col min="9" max="15" width="11.44140625" customWidth="1"/>
    <col min="16" max="17" width="18.6640625" style="270" customWidth="1"/>
    <col min="18" max="18" width="11.44140625" customWidth="1"/>
    <col min="19" max="19" width="11.44140625" style="2" customWidth="1"/>
    <col min="20" max="21" width="11.44140625" customWidth="1"/>
    <col min="25" max="25" width="18.6640625" style="7" customWidth="1"/>
    <col min="27" max="27" width="11.6640625" bestFit="1" customWidth="1"/>
    <col min="28" max="28" width="15.44140625" bestFit="1" customWidth="1"/>
    <col min="29" max="30" width="11.6640625" bestFit="1" customWidth="1"/>
    <col min="31" max="31" width="15.44140625" bestFit="1" customWidth="1"/>
    <col min="32" max="32" width="11.6640625" bestFit="1" customWidth="1"/>
    <col min="33" max="33" width="15.44140625" bestFit="1" customWidth="1"/>
    <col min="34" max="34" width="18.6640625" style="7" customWidth="1"/>
    <col min="35" max="35" width="11.77734375" style="2" bestFit="1" customWidth="1"/>
    <col min="36" max="36" width="11.6640625" bestFit="1" customWidth="1"/>
    <col min="37" max="37" width="15.44140625" bestFit="1" customWidth="1"/>
    <col min="38" max="38" width="18.6640625" style="7" customWidth="1"/>
  </cols>
  <sheetData>
    <row r="1" spans="1:41" s="158" customFormat="1" ht="26.55" customHeight="1" x14ac:dyDescent="0.5">
      <c r="A1" s="158" t="s">
        <v>452</v>
      </c>
      <c r="B1" s="159"/>
      <c r="C1" s="159"/>
      <c r="D1" s="160"/>
      <c r="F1" s="531" t="s">
        <v>453</v>
      </c>
      <c r="G1" s="532"/>
      <c r="H1" s="532"/>
      <c r="I1" s="532"/>
      <c r="J1" s="532"/>
      <c r="K1" s="532"/>
      <c r="L1" s="532"/>
      <c r="M1" s="532"/>
      <c r="N1" s="532"/>
      <c r="O1" s="532"/>
      <c r="P1" s="532"/>
      <c r="Q1" s="532"/>
      <c r="R1" s="532"/>
      <c r="S1" s="532"/>
      <c r="T1" s="532"/>
      <c r="U1" s="532"/>
      <c r="V1" s="532"/>
      <c r="W1" s="532"/>
      <c r="X1" s="532"/>
      <c r="Y1" s="532"/>
      <c r="Z1" s="533" t="s">
        <v>454</v>
      </c>
      <c r="AA1" s="534"/>
      <c r="AB1" s="534"/>
      <c r="AC1" s="534"/>
      <c r="AD1" s="534"/>
      <c r="AE1" s="534"/>
      <c r="AF1" s="534"/>
      <c r="AG1" s="534"/>
      <c r="AH1" s="535"/>
      <c r="AI1" s="536" t="s">
        <v>455</v>
      </c>
      <c r="AJ1" s="537"/>
      <c r="AK1" s="537"/>
      <c r="AL1" s="538"/>
    </row>
    <row r="2" spans="1:41" s="161" customFormat="1" ht="15.45" customHeight="1" x14ac:dyDescent="0.3">
      <c r="B2" s="162"/>
      <c r="C2" s="162"/>
      <c r="F2" s="539" t="s">
        <v>456</v>
      </c>
      <c r="G2" s="540"/>
      <c r="H2" s="541"/>
      <c r="I2" s="542" t="s">
        <v>457</v>
      </c>
      <c r="J2" s="540"/>
      <c r="K2" s="540"/>
      <c r="L2" s="540"/>
      <c r="M2" s="540"/>
      <c r="N2" s="540"/>
      <c r="O2" s="540"/>
      <c r="P2" s="541"/>
      <c r="Q2" s="163"/>
      <c r="R2" s="542" t="s">
        <v>458</v>
      </c>
      <c r="S2" s="540"/>
      <c r="T2" s="540"/>
      <c r="U2" s="540"/>
      <c r="V2" s="540"/>
      <c r="W2" s="540"/>
      <c r="X2" s="540"/>
      <c r="Y2" s="540"/>
      <c r="Z2" s="543" t="s">
        <v>459</v>
      </c>
      <c r="AA2" s="540"/>
      <c r="AB2" s="540"/>
      <c r="AC2" s="540"/>
      <c r="AD2" s="540"/>
      <c r="AE2" s="540"/>
      <c r="AF2" s="540"/>
      <c r="AG2" s="540"/>
      <c r="AH2" s="544"/>
      <c r="AI2" s="545" t="s">
        <v>460</v>
      </c>
      <c r="AJ2" s="546"/>
      <c r="AK2" s="546"/>
      <c r="AL2" s="546"/>
      <c r="AO2" s="161" t="s">
        <v>461</v>
      </c>
    </row>
    <row r="3" spans="1:41" s="164" customFormat="1" ht="24.45" customHeight="1" x14ac:dyDescent="0.55000000000000004">
      <c r="B3" s="165"/>
      <c r="C3" s="165"/>
      <c r="F3" s="166" t="s">
        <v>462</v>
      </c>
      <c r="G3" s="167" t="s">
        <v>463</v>
      </c>
      <c r="H3" s="525" t="s">
        <v>464</v>
      </c>
      <c r="I3" s="168" t="s">
        <v>462</v>
      </c>
      <c r="J3" s="169" t="s">
        <v>465</v>
      </c>
      <c r="K3" s="169" t="s">
        <v>466</v>
      </c>
      <c r="L3" s="169" t="s">
        <v>463</v>
      </c>
      <c r="M3" s="169" t="s">
        <v>467</v>
      </c>
      <c r="N3" s="169" t="s">
        <v>468</v>
      </c>
      <c r="O3" s="169" t="s">
        <v>469</v>
      </c>
      <c r="P3" s="526" t="s">
        <v>470</v>
      </c>
      <c r="Q3" s="527" t="s">
        <v>471</v>
      </c>
      <c r="R3" s="170" t="s">
        <v>465</v>
      </c>
      <c r="S3" s="171" t="s">
        <v>472</v>
      </c>
      <c r="T3" s="172" t="s">
        <v>473</v>
      </c>
      <c r="U3" s="172" t="s">
        <v>474</v>
      </c>
      <c r="V3" s="171" t="s">
        <v>475</v>
      </c>
      <c r="W3" s="172" t="s">
        <v>476</v>
      </c>
      <c r="X3" s="171" t="s">
        <v>477</v>
      </c>
      <c r="Y3" s="528" t="s">
        <v>478</v>
      </c>
      <c r="Z3" s="173" t="s">
        <v>479</v>
      </c>
      <c r="AA3" s="174" t="s">
        <v>480</v>
      </c>
      <c r="AB3" s="174" t="s">
        <v>481</v>
      </c>
      <c r="AC3" s="174" t="s">
        <v>482</v>
      </c>
      <c r="AD3" s="174" t="s">
        <v>483</v>
      </c>
      <c r="AE3" s="174" t="s">
        <v>484</v>
      </c>
      <c r="AF3" s="174" t="s">
        <v>485</v>
      </c>
      <c r="AG3" s="174" t="s">
        <v>486</v>
      </c>
      <c r="AH3" s="529" t="s">
        <v>487</v>
      </c>
      <c r="AI3" s="175" t="s">
        <v>488</v>
      </c>
      <c r="AJ3" s="176" t="s">
        <v>489</v>
      </c>
      <c r="AK3" s="176" t="s">
        <v>490</v>
      </c>
      <c r="AL3" s="530" t="s">
        <v>491</v>
      </c>
      <c r="AO3" s="161" t="s">
        <v>492</v>
      </c>
    </row>
    <row r="4" spans="1:41" s="16" customFormat="1" ht="39" x14ac:dyDescent="0.3">
      <c r="B4" s="177"/>
      <c r="C4" s="177"/>
      <c r="E4" s="16" t="s">
        <v>493</v>
      </c>
      <c r="F4" s="178" t="s">
        <v>494</v>
      </c>
      <c r="G4" s="179" t="s">
        <v>495</v>
      </c>
      <c r="H4" s="525"/>
      <c r="I4" s="180" t="s">
        <v>494</v>
      </c>
      <c r="J4" s="181" t="s">
        <v>496</v>
      </c>
      <c r="K4" s="181" t="s">
        <v>497</v>
      </c>
      <c r="L4" s="181" t="s">
        <v>495</v>
      </c>
      <c r="M4" s="181" t="s">
        <v>498</v>
      </c>
      <c r="N4" s="181" t="s">
        <v>499</v>
      </c>
      <c r="O4" s="181" t="s">
        <v>500</v>
      </c>
      <c r="P4" s="526"/>
      <c r="Q4" s="527"/>
      <c r="R4" s="182" t="s">
        <v>496</v>
      </c>
      <c r="S4" s="183" t="s">
        <v>501</v>
      </c>
      <c r="T4" s="184" t="s">
        <v>502</v>
      </c>
      <c r="U4" s="184" t="s">
        <v>503</v>
      </c>
      <c r="V4" s="184" t="s">
        <v>504</v>
      </c>
      <c r="W4" s="185"/>
      <c r="X4" s="184" t="s">
        <v>505</v>
      </c>
      <c r="Y4" s="528"/>
      <c r="Z4" s="186" t="s">
        <v>506</v>
      </c>
      <c r="AA4" s="187" t="s">
        <v>507</v>
      </c>
      <c r="AB4" s="187" t="s">
        <v>508</v>
      </c>
      <c r="AC4" s="187" t="s">
        <v>509</v>
      </c>
      <c r="AD4" s="187" t="s">
        <v>510</v>
      </c>
      <c r="AE4" s="187" t="s">
        <v>511</v>
      </c>
      <c r="AF4" s="187" t="s">
        <v>512</v>
      </c>
      <c r="AG4" s="187" t="s">
        <v>513</v>
      </c>
      <c r="AH4" s="529"/>
      <c r="AI4" s="188" t="s">
        <v>501</v>
      </c>
      <c r="AJ4" s="189" t="s">
        <v>507</v>
      </c>
      <c r="AK4" s="189" t="s">
        <v>514</v>
      </c>
      <c r="AL4" s="530"/>
    </row>
    <row r="5" spans="1:41" s="16" customFormat="1" ht="23.55" customHeight="1" x14ac:dyDescent="0.3">
      <c r="B5" s="522" t="s">
        <v>515</v>
      </c>
      <c r="C5" s="522"/>
      <c r="E5" s="190" t="s">
        <v>516</v>
      </c>
      <c r="F5" s="191" t="s">
        <v>517</v>
      </c>
      <c r="G5" s="179" t="s">
        <v>518</v>
      </c>
      <c r="H5" s="192" t="s">
        <v>519</v>
      </c>
      <c r="I5" s="193" t="s">
        <v>517</v>
      </c>
      <c r="J5" s="181" t="s">
        <v>520</v>
      </c>
      <c r="K5" s="181" t="s">
        <v>521</v>
      </c>
      <c r="L5" s="181" t="s">
        <v>518</v>
      </c>
      <c r="M5" s="523" t="s">
        <v>522</v>
      </c>
      <c r="N5" s="523"/>
      <c r="O5" s="523"/>
      <c r="P5" s="194" t="s">
        <v>519</v>
      </c>
      <c r="Q5" s="194" t="s">
        <v>519</v>
      </c>
      <c r="R5" s="182" t="s">
        <v>520</v>
      </c>
      <c r="S5" s="195" t="s">
        <v>523</v>
      </c>
      <c r="T5" s="184" t="s">
        <v>524</v>
      </c>
      <c r="U5" s="185"/>
      <c r="V5" s="524" t="s">
        <v>525</v>
      </c>
      <c r="W5" s="524"/>
      <c r="X5" s="524"/>
      <c r="Y5" s="196" t="s">
        <v>519</v>
      </c>
      <c r="Z5" s="197" t="s">
        <v>526</v>
      </c>
      <c r="AA5" s="187" t="s">
        <v>527</v>
      </c>
      <c r="AB5" s="187" t="s">
        <v>524</v>
      </c>
      <c r="AC5" s="187" t="s">
        <v>528</v>
      </c>
      <c r="AD5" s="187" t="s">
        <v>528</v>
      </c>
      <c r="AE5" s="187" t="s">
        <v>529</v>
      </c>
      <c r="AF5" s="187" t="s">
        <v>528</v>
      </c>
      <c r="AG5" s="187" t="s">
        <v>529</v>
      </c>
      <c r="AH5" s="198" t="s">
        <v>519</v>
      </c>
      <c r="AI5" s="199" t="s">
        <v>523</v>
      </c>
      <c r="AJ5" s="189" t="s">
        <v>527</v>
      </c>
      <c r="AK5" s="189" t="s">
        <v>524</v>
      </c>
      <c r="AL5" s="200" t="s">
        <v>519</v>
      </c>
    </row>
    <row r="6" spans="1:41" s="215" customFormat="1" ht="18" x14ac:dyDescent="0.35">
      <c r="A6" s="201" t="s">
        <v>402</v>
      </c>
      <c r="B6" s="202"/>
      <c r="C6" s="202"/>
      <c r="D6" s="203"/>
      <c r="E6" s="203"/>
      <c r="F6" s="204"/>
      <c r="G6" s="203"/>
      <c r="H6" s="205"/>
      <c r="I6" s="203"/>
      <c r="J6" s="203"/>
      <c r="K6" s="203"/>
      <c r="L6" s="203"/>
      <c r="M6" s="203"/>
      <c r="N6" s="203"/>
      <c r="O6" s="203"/>
      <c r="P6" s="203"/>
      <c r="Q6" s="203"/>
      <c r="R6" s="203"/>
      <c r="S6" s="206"/>
      <c r="T6" s="203"/>
      <c r="U6" s="203"/>
      <c r="V6" s="203"/>
      <c r="W6" s="203"/>
      <c r="X6" s="203"/>
      <c r="Y6" s="207"/>
      <c r="Z6" s="208"/>
      <c r="AA6" s="209"/>
      <c r="AB6" s="203"/>
      <c r="AC6" s="203"/>
      <c r="AD6" s="203"/>
      <c r="AE6" s="203"/>
      <c r="AF6" s="203"/>
      <c r="AG6" s="203"/>
      <c r="AH6" s="210"/>
      <c r="AI6" s="211"/>
      <c r="AJ6" s="212"/>
      <c r="AK6" s="213"/>
      <c r="AL6" s="214"/>
    </row>
    <row r="7" spans="1:41" s="224" customFormat="1" outlineLevel="1" x14ac:dyDescent="0.3">
      <c r="A7" s="216" t="s">
        <v>402</v>
      </c>
      <c r="B7" s="217" t="str">
        <f>DGcalcul!$E$19</f>
        <v>Mixed or Unknown collection</v>
      </c>
      <c r="C7" s="217" t="str">
        <f>CONCATENATE(A7," ",B7)</f>
        <v>HDPE Mixed or Unknown collection</v>
      </c>
      <c r="D7" s="218" t="s">
        <v>327</v>
      </c>
      <c r="E7" s="219" t="s">
        <v>336</v>
      </c>
      <c r="F7" s="220">
        <f>DGcalcul!$E$8</f>
        <v>0</v>
      </c>
      <c r="G7" s="218">
        <f>'DGbase données'!C2</f>
        <v>2.3990300000000002</v>
      </c>
      <c r="H7" s="221">
        <f>(1-F7)*G7</f>
        <v>2.3990300000000002</v>
      </c>
      <c r="I7" s="220">
        <f>DGcalcul!$E$8</f>
        <v>0</v>
      </c>
      <c r="J7" s="222">
        <v>0.5</v>
      </c>
      <c r="K7" s="223">
        <f>DGbaseF2V!U5</f>
        <v>0.17064777</v>
      </c>
      <c r="L7" s="224">
        <f t="shared" ref="L7:L70" si="0">G7</f>
        <v>2.3990300000000002</v>
      </c>
      <c r="M7" s="222">
        <v>0.9</v>
      </c>
      <c r="N7" s="222">
        <v>1</v>
      </c>
      <c r="O7" s="222">
        <f>M7/N7</f>
        <v>0.9</v>
      </c>
      <c r="P7" s="225">
        <f>I7*(J7*K7+(1-J7)*L7*O7)</f>
        <v>0</v>
      </c>
      <c r="Q7" s="226">
        <f>H7+P7</f>
        <v>2.3990300000000002</v>
      </c>
      <c r="R7" s="227">
        <v>0.5</v>
      </c>
      <c r="S7" s="228" t="e">
        <f>IF(DGcalcul!$I$19="yes",VLOOKUP(DGcalcul!$G$3,DGliste!$F$13:$G$19,2,0),HLOOKUP($A$6,'DGbase données'!$B$78:$E$81,3,0))</f>
        <v>#N/A</v>
      </c>
      <c r="T7" s="223">
        <v>0.62634272000000002</v>
      </c>
      <c r="U7" s="224">
        <f t="shared" ref="U7:U70" si="1">L7</f>
        <v>2.3990300000000002</v>
      </c>
      <c r="V7" s="222">
        <v>0.9</v>
      </c>
      <c r="W7" s="222">
        <v>1</v>
      </c>
      <c r="X7" s="222">
        <f>V7/W7</f>
        <v>0.9</v>
      </c>
      <c r="Y7" s="264" t="e">
        <f>(1-R7)*S7*(T7-U7*X7)</f>
        <v>#N/A</v>
      </c>
      <c r="Z7" s="230">
        <v>0</v>
      </c>
      <c r="AA7" s="228" t="e">
        <f>IF(DGcalcul!$I$19="yes",VLOOKUP(DGcalcul!$G$3,DGliste!$F$13:$G$19,2,0),HLOOKUP($A$6,'DGbase données'!$B$78:$E$81,2,0))</f>
        <v>#N/A</v>
      </c>
      <c r="AB7" s="224">
        <f>DGbaseF2V!S5</f>
        <v>-0.86572464999999998</v>
      </c>
      <c r="AC7" s="231">
        <f>HLOOKUP(C7,DGbasecoll!$B$3:$K$4,2,0)</f>
        <v>19.52</v>
      </c>
      <c r="AD7" s="228">
        <v>0.187</v>
      </c>
      <c r="AE7" s="232">
        <f>DGbasevalo!C3</f>
        <v>7.7330222000000004E-2</v>
      </c>
      <c r="AF7" s="228">
        <v>0.08</v>
      </c>
      <c r="AG7" s="231">
        <f>DGbasevalo!D3</f>
        <v>2.2289777E-2</v>
      </c>
      <c r="AH7" s="233" t="e">
        <f>(1-Z7)*AA7*(AB7-AC7*AD7*AE7-AC7*AF7*AG7)</f>
        <v>#N/A</v>
      </c>
      <c r="AI7" s="234">
        <f>DGcalcul!$K$25</f>
        <v>0</v>
      </c>
      <c r="AJ7" s="234">
        <f>DGcalcul!$K$24</f>
        <v>0</v>
      </c>
      <c r="AK7" s="235">
        <f>DGbaseF2V!T5</f>
        <v>-7.1919412000000002E-2</v>
      </c>
      <c r="AL7" s="236">
        <f>(1-AI7-AJ7)*AK7</f>
        <v>-7.1919412000000002E-2</v>
      </c>
    </row>
    <row r="8" spans="1:41" s="241" customFormat="1" outlineLevel="1" x14ac:dyDescent="0.3">
      <c r="A8" s="216" t="s">
        <v>402</v>
      </c>
      <c r="B8" s="217" t="str">
        <f>DGcalcul!$E$19</f>
        <v>Mixed or Unknown collection</v>
      </c>
      <c r="C8" s="217" t="str">
        <f t="shared" ref="C8:C22" si="2">CONCATENATE(A8," ",B8)</f>
        <v>HDPE Mixed or Unknown collection</v>
      </c>
      <c r="D8" s="237" t="s">
        <v>416</v>
      </c>
      <c r="E8" s="238" t="s">
        <v>417</v>
      </c>
      <c r="F8" s="220">
        <f>DGcalcul!$E$8</f>
        <v>0</v>
      </c>
      <c r="G8" s="218">
        <f>'DGbase données'!C3</f>
        <v>5.8780467999999998E-8</v>
      </c>
      <c r="H8" s="239">
        <f t="shared" ref="H8:H21" si="3">(1-F8)*G8</f>
        <v>5.8780467999999998E-8</v>
      </c>
      <c r="I8" s="220">
        <f>DGcalcul!$E$8</f>
        <v>0</v>
      </c>
      <c r="J8" s="240">
        <v>0.5</v>
      </c>
      <c r="K8" s="223">
        <f>DGbaseF2V!U6</f>
        <v>3.7804804999999999E-9</v>
      </c>
      <c r="L8" s="241">
        <f t="shared" si="0"/>
        <v>5.8780467999999998E-8</v>
      </c>
      <c r="M8" s="240">
        <v>0.9</v>
      </c>
      <c r="N8" s="240">
        <v>1</v>
      </c>
      <c r="O8" s="240">
        <f t="shared" ref="O8:O22" si="4">M8/N8</f>
        <v>0.9</v>
      </c>
      <c r="P8" s="225">
        <f>I8*(J8*K8+(1-J8)*L8*O8)</f>
        <v>0</v>
      </c>
      <c r="Q8" s="226">
        <f t="shared" ref="Q8:Q22" si="5">H8+P8</f>
        <v>5.8780467999999998E-8</v>
      </c>
      <c r="R8" s="242">
        <v>0.5</v>
      </c>
      <c r="S8" s="228" t="e">
        <f>IF(DGcalcul!$I$19="yes",VLOOKUP(DGcalcul!$G$3,DGliste!$F$13:$G$19,2,0),HLOOKUP($A$6,'DGbase données'!$B$78:$E$81,3,0))</f>
        <v>#N/A</v>
      </c>
      <c r="T8" s="223">
        <v>6.5790846999999998E-8</v>
      </c>
      <c r="U8" s="241">
        <f t="shared" si="1"/>
        <v>5.8780467999999998E-8</v>
      </c>
      <c r="V8" s="240">
        <v>0.9</v>
      </c>
      <c r="W8" s="240">
        <v>1</v>
      </c>
      <c r="X8" s="240">
        <f t="shared" ref="X8:X22" si="6">V8/W8</f>
        <v>0.9</v>
      </c>
      <c r="Y8" s="243" t="e">
        <f t="shared" ref="Y8:Y22" si="7">(1-R8)*S8*(T8-U8*X8)</f>
        <v>#N/A</v>
      </c>
      <c r="Z8" s="244">
        <v>0</v>
      </c>
      <c r="AA8" s="228" t="e">
        <f>IF(DGcalcul!$I$19="yes",VLOOKUP(DGcalcul!$G$3,DGliste!$F$13:$G$19,2,0),HLOOKUP($A$6,'DGbase données'!$B$78:$E$81,2,0))</f>
        <v>#N/A</v>
      </c>
      <c r="AB8" s="224">
        <f>DGbaseF2V!S6</f>
        <v>1.6045051000000001E-7</v>
      </c>
      <c r="AC8" s="231">
        <f>HLOOKUP(C8,DGbasecoll!$B$3:$K$4,2,0)</f>
        <v>19.52</v>
      </c>
      <c r="AD8" s="245">
        <v>0.187</v>
      </c>
      <c r="AE8" s="232">
        <f>DGbasevalo!C4</f>
        <v>8.0992136000000005E-9</v>
      </c>
      <c r="AF8" s="245">
        <v>0.08</v>
      </c>
      <c r="AG8" s="231">
        <f>DGbasevalo!D4</f>
        <v>2.3413113000000001E-9</v>
      </c>
      <c r="AH8" s="246" t="e">
        <f>(1-Z8)*AA8*(AB8-AC8*AD8*AE8-AC8*AF8*AG8)</f>
        <v>#N/A</v>
      </c>
      <c r="AI8" s="234">
        <f>DGcalcul!$K$25</f>
        <v>0</v>
      </c>
      <c r="AJ8" s="234">
        <f>DGcalcul!$K$24</f>
        <v>0</v>
      </c>
      <c r="AK8" s="235">
        <f>DGbaseF2V!T6</f>
        <v>-2.2703682000000001E-9</v>
      </c>
      <c r="AL8" s="247">
        <f t="shared" ref="AL8:AL71" si="8">(1-AI8-AJ8)*AK8</f>
        <v>-2.2703682000000001E-9</v>
      </c>
    </row>
    <row r="9" spans="1:41" s="241" customFormat="1" outlineLevel="1" x14ac:dyDescent="0.3">
      <c r="A9" s="216" t="s">
        <v>402</v>
      </c>
      <c r="B9" s="217" t="str">
        <f>DGcalcul!$E$19</f>
        <v>Mixed or Unknown collection</v>
      </c>
      <c r="C9" s="217" t="str">
        <f t="shared" si="2"/>
        <v>HDPE Mixed or Unknown collection</v>
      </c>
      <c r="D9" s="237" t="s">
        <v>418</v>
      </c>
      <c r="E9" s="238" t="s">
        <v>419</v>
      </c>
      <c r="F9" s="220">
        <f>DGcalcul!$E$8</f>
        <v>0</v>
      </c>
      <c r="G9" s="218">
        <f>'DGbase données'!C4</f>
        <v>7.5567153999999997E-2</v>
      </c>
      <c r="H9" s="239">
        <f t="shared" si="3"/>
        <v>7.5567153999999997E-2</v>
      </c>
      <c r="I9" s="220">
        <f>DGcalcul!$E$8</f>
        <v>0</v>
      </c>
      <c r="J9" s="240">
        <v>0.5</v>
      </c>
      <c r="K9" s="223">
        <f>DGbaseF2V!U7</f>
        <v>9.4258686999999994E-2</v>
      </c>
      <c r="L9" s="241">
        <f t="shared" si="0"/>
        <v>7.5567153999999997E-2</v>
      </c>
      <c r="M9" s="240">
        <v>0.9</v>
      </c>
      <c r="N9" s="240">
        <v>1</v>
      </c>
      <c r="O9" s="240">
        <f t="shared" si="4"/>
        <v>0.9</v>
      </c>
      <c r="P9" s="225">
        <f t="shared" ref="P9:P17" si="9">I9*(J9*K9+(1-J9)*L9*O9)</f>
        <v>0</v>
      </c>
      <c r="Q9" s="226">
        <f t="shared" si="5"/>
        <v>7.5567153999999997E-2</v>
      </c>
      <c r="R9" s="242">
        <v>0.5</v>
      </c>
      <c r="S9" s="228" t="e">
        <f>IF(DGcalcul!$I$19="yes",VLOOKUP(DGcalcul!$G$3,DGliste!$F$13:$G$19,2,0),HLOOKUP($A$6,'DGbase données'!$B$78:$E$81,3,0))</f>
        <v>#N/A</v>
      </c>
      <c r="T9" s="223">
        <v>4.1369674999999999</v>
      </c>
      <c r="U9" s="241">
        <f t="shared" si="1"/>
        <v>7.5567153999999997E-2</v>
      </c>
      <c r="V9" s="240">
        <v>0.9</v>
      </c>
      <c r="W9" s="240">
        <v>1</v>
      </c>
      <c r="X9" s="240">
        <f t="shared" si="6"/>
        <v>0.9</v>
      </c>
      <c r="Y9" s="243" t="e">
        <f t="shared" si="7"/>
        <v>#N/A</v>
      </c>
      <c r="Z9" s="244">
        <v>0</v>
      </c>
      <c r="AA9" s="228" t="e">
        <f>IF(DGcalcul!$I$19="yes",VLOOKUP(DGcalcul!$G$3,DGliste!$F$13:$G$19,2,0),HLOOKUP($A$6,'DGbase données'!$B$78:$E$81,2,0))</f>
        <v>#N/A</v>
      </c>
      <c r="AB9" s="224">
        <f>DGbaseF2V!S7</f>
        <v>0.25370590999999998</v>
      </c>
      <c r="AC9" s="231">
        <f>HLOOKUP(C9,DGbasecoll!$B$3:$K$4,2,0)</f>
        <v>19.52</v>
      </c>
      <c r="AD9" s="245">
        <v>0.187</v>
      </c>
      <c r="AE9" s="232">
        <f>DGbasevalo!C5</f>
        <v>1.1716807000000001E-3</v>
      </c>
      <c r="AF9" s="245">
        <v>0.08</v>
      </c>
      <c r="AG9" s="231">
        <f>DGbasevalo!D5</f>
        <v>0.14722304</v>
      </c>
      <c r="AH9" s="246" t="e">
        <f t="shared" ref="AH9:AH21" si="10">(1-Z9)*AA9*(AB9-AC9*AD9*AE9-AC9*AF9*AG9)</f>
        <v>#N/A</v>
      </c>
      <c r="AI9" s="234">
        <f>DGcalcul!$K$25</f>
        <v>0</v>
      </c>
      <c r="AJ9" s="234">
        <f>DGcalcul!$K$24</f>
        <v>0</v>
      </c>
      <c r="AK9" s="235">
        <f>DGbaseF2V!T7</f>
        <v>-3.5874136E-3</v>
      </c>
      <c r="AL9" s="247">
        <f t="shared" si="8"/>
        <v>-3.5874136E-3</v>
      </c>
    </row>
    <row r="10" spans="1:41" s="241" customFormat="1" outlineLevel="1" x14ac:dyDescent="0.3">
      <c r="A10" s="216" t="s">
        <v>402</v>
      </c>
      <c r="B10" s="217" t="str">
        <f>DGcalcul!$E$19</f>
        <v>Mixed or Unknown collection</v>
      </c>
      <c r="C10" s="217" t="str">
        <f t="shared" si="2"/>
        <v>HDPE Mixed or Unknown collection</v>
      </c>
      <c r="D10" s="237" t="s">
        <v>328</v>
      </c>
      <c r="E10" s="238" t="s">
        <v>342</v>
      </c>
      <c r="F10" s="220">
        <f>DGcalcul!$E$8</f>
        <v>0</v>
      </c>
      <c r="G10" s="218">
        <f>'DGbase données'!C5</f>
        <v>8.3132537999999999E-3</v>
      </c>
      <c r="H10" s="239">
        <f t="shared" si="3"/>
        <v>8.3132537999999999E-3</v>
      </c>
      <c r="I10" s="220">
        <f>DGcalcul!$E$8</f>
        <v>0</v>
      </c>
      <c r="J10" s="240">
        <v>0.5</v>
      </c>
      <c r="K10" s="223">
        <f>DGbaseF2V!U8</f>
        <v>4.6315437E-4</v>
      </c>
      <c r="L10" s="241">
        <f t="shared" si="0"/>
        <v>8.3132537999999999E-3</v>
      </c>
      <c r="M10" s="240">
        <v>0.9</v>
      </c>
      <c r="N10" s="240">
        <v>1</v>
      </c>
      <c r="O10" s="240">
        <f t="shared" si="4"/>
        <v>0.9</v>
      </c>
      <c r="P10" s="225">
        <f t="shared" si="9"/>
        <v>0</v>
      </c>
      <c r="Q10" s="226">
        <f t="shared" si="5"/>
        <v>8.3132537999999999E-3</v>
      </c>
      <c r="R10" s="242">
        <v>0.5</v>
      </c>
      <c r="S10" s="228" t="e">
        <f>IF(DGcalcul!$I$19="yes",VLOOKUP(DGcalcul!$G$3,DGliste!$F$13:$G$19,2,0),HLOOKUP($A$6,'DGbase données'!$B$78:$E$81,3,0))</f>
        <v>#N/A</v>
      </c>
      <c r="T10" s="223">
        <v>1.6319308E-3</v>
      </c>
      <c r="U10" s="241">
        <f t="shared" si="1"/>
        <v>8.3132537999999999E-3</v>
      </c>
      <c r="V10" s="240">
        <v>0.9</v>
      </c>
      <c r="W10" s="240">
        <v>1</v>
      </c>
      <c r="X10" s="240">
        <f t="shared" si="6"/>
        <v>0.9</v>
      </c>
      <c r="Y10" s="349" t="e">
        <f>(1-R10)*S10*(T10-U10*X10)</f>
        <v>#N/A</v>
      </c>
      <c r="Z10" s="244">
        <v>0</v>
      </c>
      <c r="AA10" s="228" t="e">
        <f>IF(DGcalcul!$I$19="yes",VLOOKUP(DGcalcul!$G$3,DGliste!$F$13:$G$19,2,0),HLOOKUP($A$6,'DGbase données'!$B$78:$E$81,2,0))</f>
        <v>#N/A</v>
      </c>
      <c r="AB10" s="224">
        <f>DGbaseF2V!S8</f>
        <v>4.8975648000000004E-3</v>
      </c>
      <c r="AC10" s="231">
        <f>HLOOKUP(C10,DGbasecoll!$B$3:$K$4,2,0)</f>
        <v>19.52</v>
      </c>
      <c r="AD10" s="245">
        <v>0.187</v>
      </c>
      <c r="AE10" s="232">
        <f>DGbasevalo!C6</f>
        <v>7.9413265000000005E-5</v>
      </c>
      <c r="AF10" s="245">
        <v>0.08</v>
      </c>
      <c r="AG10" s="231">
        <f>DGbasevalo!D6</f>
        <v>5.8075829000000003E-5</v>
      </c>
      <c r="AH10" s="246" t="e">
        <f t="shared" si="10"/>
        <v>#N/A</v>
      </c>
      <c r="AI10" s="234">
        <f>DGcalcul!$K$25</f>
        <v>0</v>
      </c>
      <c r="AJ10" s="234">
        <f>DGcalcul!$K$24</f>
        <v>0</v>
      </c>
      <c r="AK10" s="235">
        <f>DGbaseF2V!T8</f>
        <v>-1.9214072000000001E-4</v>
      </c>
      <c r="AL10" s="247">
        <f t="shared" si="8"/>
        <v>-1.9214072000000001E-4</v>
      </c>
    </row>
    <row r="11" spans="1:41" s="241" customFormat="1" outlineLevel="1" x14ac:dyDescent="0.3">
      <c r="A11" s="216" t="s">
        <v>402</v>
      </c>
      <c r="B11" s="217" t="str">
        <f>DGcalcul!$E$19</f>
        <v>Mixed or Unknown collection</v>
      </c>
      <c r="C11" s="217" t="str">
        <f t="shared" si="2"/>
        <v>HDPE Mixed or Unknown collection</v>
      </c>
      <c r="D11" s="237" t="s">
        <v>329</v>
      </c>
      <c r="E11" s="238" t="s">
        <v>343</v>
      </c>
      <c r="F11" s="220">
        <f>DGcalcul!$E$8</f>
        <v>0</v>
      </c>
      <c r="G11" s="218">
        <f>'DGbase données'!C6</f>
        <v>9.5710857E-8</v>
      </c>
      <c r="H11" s="239">
        <f t="shared" si="3"/>
        <v>9.5710857E-8</v>
      </c>
      <c r="I11" s="220">
        <f>DGcalcul!$E$8</f>
        <v>0</v>
      </c>
      <c r="J11" s="240">
        <v>0.5</v>
      </c>
      <c r="K11" s="223">
        <f>DGbaseF2V!U9</f>
        <v>4.8432121999999997E-9</v>
      </c>
      <c r="L11" s="241">
        <f t="shared" si="0"/>
        <v>9.5710857E-8</v>
      </c>
      <c r="M11" s="240">
        <v>0.9</v>
      </c>
      <c r="N11" s="240">
        <v>1</v>
      </c>
      <c r="O11" s="240">
        <f t="shared" si="4"/>
        <v>0.9</v>
      </c>
      <c r="P11" s="225">
        <f t="shared" si="9"/>
        <v>0</v>
      </c>
      <c r="Q11" s="226">
        <f t="shared" si="5"/>
        <v>9.5710857E-8</v>
      </c>
      <c r="R11" s="242">
        <v>0.5</v>
      </c>
      <c r="S11" s="228" t="e">
        <f>IF(DGcalcul!$I$19="yes",VLOOKUP(DGcalcul!$G$3,DGliste!$F$13:$G$19,2,0),HLOOKUP($A$6,'DGbase données'!$B$78:$E$81,3,0))</f>
        <v>#N/A</v>
      </c>
      <c r="T11" s="223">
        <v>3.4225455999999997E-8</v>
      </c>
      <c r="U11" s="241">
        <f t="shared" si="1"/>
        <v>9.5710857E-8</v>
      </c>
      <c r="V11" s="240">
        <v>0.9</v>
      </c>
      <c r="W11" s="240">
        <v>1</v>
      </c>
      <c r="X11" s="240">
        <f t="shared" si="6"/>
        <v>0.9</v>
      </c>
      <c r="Y11" s="243" t="e">
        <f t="shared" si="7"/>
        <v>#N/A</v>
      </c>
      <c r="Z11" s="244">
        <v>0</v>
      </c>
      <c r="AA11" s="228" t="e">
        <f>IF(DGcalcul!$I$19="yes",VLOOKUP(DGcalcul!$G$3,DGliste!$F$13:$G$19,2,0),HLOOKUP($A$6,'DGbase données'!$B$78:$E$81,2,0))</f>
        <v>#N/A</v>
      </c>
      <c r="AB11" s="224">
        <f>DGbaseF2V!S9</f>
        <v>1.4669214000000001E-7</v>
      </c>
      <c r="AC11" s="231">
        <f>HLOOKUP(C11,DGbasecoll!$B$3:$K$4,2,0)</f>
        <v>19.52</v>
      </c>
      <c r="AD11" s="245">
        <v>0.187</v>
      </c>
      <c r="AE11" s="232">
        <f>DGbasevalo!C7</f>
        <v>3.815356E-10</v>
      </c>
      <c r="AF11" s="245">
        <v>0.08</v>
      </c>
      <c r="AG11" s="231">
        <f>DGbasevalo!D7</f>
        <v>1.2179878E-9</v>
      </c>
      <c r="AH11" s="246" t="e">
        <f t="shared" si="10"/>
        <v>#N/A</v>
      </c>
      <c r="AI11" s="234">
        <f>DGcalcul!$K$25</f>
        <v>0</v>
      </c>
      <c r="AJ11" s="234">
        <f>DGcalcul!$K$24</f>
        <v>0</v>
      </c>
      <c r="AK11" s="235">
        <f>DGbaseF2V!T9</f>
        <v>-2.2139156000000001E-8</v>
      </c>
      <c r="AL11" s="247">
        <f t="shared" si="8"/>
        <v>-2.2139156000000001E-8</v>
      </c>
    </row>
    <row r="12" spans="1:41" s="241" customFormat="1" outlineLevel="1" x14ac:dyDescent="0.3">
      <c r="A12" s="216" t="s">
        <v>402</v>
      </c>
      <c r="B12" s="217" t="str">
        <f>DGcalcul!$E$19</f>
        <v>Mixed or Unknown collection</v>
      </c>
      <c r="C12" s="217" t="str">
        <f t="shared" si="2"/>
        <v>HDPE Mixed or Unknown collection</v>
      </c>
      <c r="D12" s="237" t="s">
        <v>420</v>
      </c>
      <c r="E12" s="238" t="s">
        <v>421</v>
      </c>
      <c r="F12" s="220">
        <f>DGcalcul!$E$8</f>
        <v>0</v>
      </c>
      <c r="G12" s="218">
        <f>'DGbase données'!C7</f>
        <v>1.7281820000000001E-8</v>
      </c>
      <c r="H12" s="239">
        <f t="shared" si="3"/>
        <v>1.7281820000000001E-8</v>
      </c>
      <c r="I12" s="220">
        <f>DGcalcul!$E$8</f>
        <v>0</v>
      </c>
      <c r="J12" s="240">
        <v>0.5</v>
      </c>
      <c r="K12" s="223">
        <f>DGbaseF2V!U10</f>
        <v>1.2776702000000001E-9</v>
      </c>
      <c r="L12" s="241">
        <f t="shared" si="0"/>
        <v>1.7281820000000001E-8</v>
      </c>
      <c r="M12" s="240">
        <v>0.9</v>
      </c>
      <c r="N12" s="240">
        <v>1</v>
      </c>
      <c r="O12" s="240">
        <f t="shared" si="4"/>
        <v>0.9</v>
      </c>
      <c r="P12" s="225">
        <f t="shared" si="9"/>
        <v>0</v>
      </c>
      <c r="Q12" s="226">
        <f t="shared" si="5"/>
        <v>1.7281820000000001E-8</v>
      </c>
      <c r="R12" s="242">
        <v>0.5</v>
      </c>
      <c r="S12" s="228" t="e">
        <f>IF(DGcalcul!$I$19="yes",VLOOKUP(DGcalcul!$G$3,DGliste!$F$13:$G$19,2,0),HLOOKUP($A$6,'DGbase données'!$B$78:$E$81,3,0))</f>
        <v>#N/A</v>
      </c>
      <c r="T12" s="223">
        <v>7.3692313999999998E-9</v>
      </c>
      <c r="U12" s="241">
        <f t="shared" si="1"/>
        <v>1.7281820000000001E-8</v>
      </c>
      <c r="V12" s="240">
        <v>0.9</v>
      </c>
      <c r="W12" s="240">
        <v>1</v>
      </c>
      <c r="X12" s="240">
        <f t="shared" si="6"/>
        <v>0.9</v>
      </c>
      <c r="Y12" s="243" t="e">
        <f t="shared" si="7"/>
        <v>#N/A</v>
      </c>
      <c r="Z12" s="244">
        <v>0</v>
      </c>
      <c r="AA12" s="228" t="e">
        <f>IF(DGcalcul!$I$19="yes",VLOOKUP(DGcalcul!$G$3,DGliste!$F$13:$G$19,2,0),HLOOKUP($A$6,'DGbase données'!$B$78:$E$81,2,0))</f>
        <v>#N/A</v>
      </c>
      <c r="AB12" s="224">
        <f>DGbaseF2V!S10</f>
        <v>7.6409497999999993E-9</v>
      </c>
      <c r="AC12" s="231">
        <f>HLOOKUP(C12,DGbasecoll!$B$3:$K$4,2,0)</f>
        <v>19.52</v>
      </c>
      <c r="AD12" s="245">
        <v>0.187</v>
      </c>
      <c r="AE12" s="232">
        <f>DGbasevalo!C8</f>
        <v>1.9881795000000001E-10</v>
      </c>
      <c r="AF12" s="245">
        <v>0.08</v>
      </c>
      <c r="AG12" s="231">
        <f>DGbasevalo!D8</f>
        <v>2.6225022999999999E-10</v>
      </c>
      <c r="AH12" s="246" t="e">
        <f t="shared" si="10"/>
        <v>#N/A</v>
      </c>
      <c r="AI12" s="234">
        <f>DGcalcul!$K$25</f>
        <v>0</v>
      </c>
      <c r="AJ12" s="234">
        <f>DGcalcul!$K$24</f>
        <v>0</v>
      </c>
      <c r="AK12" s="235">
        <f>DGbaseF2V!T10</f>
        <v>-2.0773666000000001E-10</v>
      </c>
      <c r="AL12" s="247">
        <f t="shared" si="8"/>
        <v>-2.0773666000000001E-10</v>
      </c>
    </row>
    <row r="13" spans="1:41" s="241" customFormat="1" outlineLevel="1" x14ac:dyDescent="0.3">
      <c r="A13" s="216" t="s">
        <v>402</v>
      </c>
      <c r="B13" s="217" t="str">
        <f>DGcalcul!$E$19</f>
        <v>Mixed or Unknown collection</v>
      </c>
      <c r="C13" s="217" t="str">
        <f t="shared" si="2"/>
        <v>HDPE Mixed or Unknown collection</v>
      </c>
      <c r="D13" s="237" t="s">
        <v>422</v>
      </c>
      <c r="E13" s="238" t="s">
        <v>421</v>
      </c>
      <c r="F13" s="220">
        <f>DGcalcul!$E$8</f>
        <v>0</v>
      </c>
      <c r="G13" s="218">
        <f>'DGbase données'!C8</f>
        <v>7.3979960999999999E-10</v>
      </c>
      <c r="H13" s="239">
        <f t="shared" si="3"/>
        <v>7.3979960999999999E-10</v>
      </c>
      <c r="I13" s="220">
        <f>DGcalcul!$E$8</f>
        <v>0</v>
      </c>
      <c r="J13" s="240">
        <v>0.5</v>
      </c>
      <c r="K13" s="223">
        <f>DGbaseF2V!U11</f>
        <v>4.5129861999999999E-10</v>
      </c>
      <c r="L13" s="241">
        <f t="shared" si="0"/>
        <v>7.3979960999999999E-10</v>
      </c>
      <c r="M13" s="240">
        <v>0.9</v>
      </c>
      <c r="N13" s="240">
        <v>1</v>
      </c>
      <c r="O13" s="240">
        <f t="shared" si="4"/>
        <v>0.9</v>
      </c>
      <c r="P13" s="225">
        <f t="shared" si="9"/>
        <v>0</v>
      </c>
      <c r="Q13" s="226">
        <f t="shared" si="5"/>
        <v>7.3979960999999999E-10</v>
      </c>
      <c r="R13" s="242">
        <v>0.5</v>
      </c>
      <c r="S13" s="228" t="e">
        <f>IF(DGcalcul!$I$19="yes",VLOOKUP(DGcalcul!$G$3,DGliste!$F$13:$G$19,2,0),HLOOKUP($A$6,'DGbase données'!$B$78:$E$81,3,0))</f>
        <v>#N/A</v>
      </c>
      <c r="T13" s="223">
        <v>3.7918162000000001E-10</v>
      </c>
      <c r="U13" s="241">
        <f t="shared" si="1"/>
        <v>7.3979960999999999E-10</v>
      </c>
      <c r="V13" s="240">
        <v>0.9</v>
      </c>
      <c r="W13" s="240">
        <v>1</v>
      </c>
      <c r="X13" s="240">
        <f t="shared" si="6"/>
        <v>0.9</v>
      </c>
      <c r="Y13" s="243" t="e">
        <f t="shared" si="7"/>
        <v>#N/A</v>
      </c>
      <c r="Z13" s="244">
        <v>0</v>
      </c>
      <c r="AA13" s="228" t="e">
        <f>IF(DGcalcul!$I$19="yes",VLOOKUP(DGcalcul!$G$3,DGliste!$F$13:$G$19,2,0),HLOOKUP($A$6,'DGbase données'!$B$78:$E$81,2,0))</f>
        <v>#N/A</v>
      </c>
      <c r="AB13" s="224">
        <f>DGbaseF2V!S11</f>
        <v>1.7898562999999999E-10</v>
      </c>
      <c r="AC13" s="231">
        <f>HLOOKUP(C13,DGbasecoll!$B$3:$K$4,2,0)</f>
        <v>19.52</v>
      </c>
      <c r="AD13" s="245">
        <v>0.187</v>
      </c>
      <c r="AE13" s="232">
        <f>DGbasevalo!C9</f>
        <v>1.5634214999999999E-11</v>
      </c>
      <c r="AF13" s="245">
        <v>0.08</v>
      </c>
      <c r="AG13" s="231">
        <f>DGbasevalo!D9</f>
        <v>1.3494008E-11</v>
      </c>
      <c r="AH13" s="246" t="e">
        <f t="shared" si="10"/>
        <v>#N/A</v>
      </c>
      <c r="AI13" s="234">
        <f>DGcalcul!$K$25</f>
        <v>0</v>
      </c>
      <c r="AJ13" s="234">
        <f>DGcalcul!$K$24</f>
        <v>0</v>
      </c>
      <c r="AK13" s="235">
        <f>DGbaseF2V!T11</f>
        <v>-1.9487869E-11</v>
      </c>
      <c r="AL13" s="247">
        <f t="shared" si="8"/>
        <v>-1.9487869E-11</v>
      </c>
    </row>
    <row r="14" spans="1:41" s="241" customFormat="1" outlineLevel="1" x14ac:dyDescent="0.3">
      <c r="A14" s="216" t="s">
        <v>402</v>
      </c>
      <c r="B14" s="217" t="str">
        <f>DGcalcul!$E$19</f>
        <v>Mixed or Unknown collection</v>
      </c>
      <c r="C14" s="217" t="str">
        <f t="shared" si="2"/>
        <v>HDPE Mixed or Unknown collection</v>
      </c>
      <c r="D14" s="237" t="s">
        <v>330</v>
      </c>
      <c r="E14" s="238" t="s">
        <v>344</v>
      </c>
      <c r="F14" s="220">
        <f>DGcalcul!$E$8</f>
        <v>0</v>
      </c>
      <c r="G14" s="218">
        <f>'DGbase données'!C9</f>
        <v>9.7047087999999997E-3</v>
      </c>
      <c r="H14" s="239">
        <f t="shared" si="3"/>
        <v>9.7047087999999997E-3</v>
      </c>
      <c r="I14" s="220">
        <f>DGcalcul!$E$8</f>
        <v>0</v>
      </c>
      <c r="J14" s="240">
        <v>0.5</v>
      </c>
      <c r="K14" s="223">
        <f>DGbaseF2V!U12</f>
        <v>7.9813189000000001E-4</v>
      </c>
      <c r="L14" s="241">
        <f t="shared" si="0"/>
        <v>9.7047087999999997E-3</v>
      </c>
      <c r="M14" s="240">
        <v>0.9</v>
      </c>
      <c r="N14" s="240">
        <v>1</v>
      </c>
      <c r="O14" s="240">
        <f t="shared" si="4"/>
        <v>0.9</v>
      </c>
      <c r="P14" s="225">
        <f t="shared" si="9"/>
        <v>0</v>
      </c>
      <c r="Q14" s="226">
        <f t="shared" si="5"/>
        <v>9.7047087999999997E-3</v>
      </c>
      <c r="R14" s="242">
        <v>0.5</v>
      </c>
      <c r="S14" s="228" t="e">
        <f>IF(DGcalcul!$I$19="yes",VLOOKUP(DGcalcul!$G$3,DGliste!$F$13:$G$19,2,0),HLOOKUP($A$6,'DGbase données'!$B$78:$E$81,3,0))</f>
        <v>#N/A</v>
      </c>
      <c r="T14" s="223">
        <v>3.0411610000000001E-3</v>
      </c>
      <c r="U14" s="241">
        <f t="shared" si="1"/>
        <v>9.7047087999999997E-3</v>
      </c>
      <c r="V14" s="240">
        <v>0.9</v>
      </c>
      <c r="W14" s="240">
        <v>1</v>
      </c>
      <c r="X14" s="240">
        <f t="shared" si="6"/>
        <v>0.9</v>
      </c>
      <c r="Y14" s="243" t="e">
        <f t="shared" si="7"/>
        <v>#N/A</v>
      </c>
      <c r="Z14" s="244">
        <v>0</v>
      </c>
      <c r="AA14" s="228" t="e">
        <f>IF(DGcalcul!$I$19="yes",VLOOKUP(DGcalcul!$G$3,DGliste!$F$13:$G$19,2,0),HLOOKUP($A$6,'DGbase données'!$B$78:$E$81,2,0))</f>
        <v>#N/A</v>
      </c>
      <c r="AB14" s="224">
        <f>DGbaseF2V!S12</f>
        <v>1.5203964E-2</v>
      </c>
      <c r="AC14" s="231">
        <f>HLOOKUP(C14,DGbasecoll!$B$3:$K$4,2,0)</f>
        <v>19.52</v>
      </c>
      <c r="AD14" s="245">
        <v>0.187</v>
      </c>
      <c r="AE14" s="232">
        <f>DGbasevalo!C10</f>
        <v>8.942492E-5</v>
      </c>
      <c r="AF14" s="245">
        <v>0.08</v>
      </c>
      <c r="AG14" s="231">
        <f>DGbasevalo!D10</f>
        <v>1.0822637E-4</v>
      </c>
      <c r="AH14" s="246" t="e">
        <f t="shared" si="10"/>
        <v>#N/A</v>
      </c>
      <c r="AI14" s="234">
        <f>DGcalcul!$K$25</f>
        <v>0</v>
      </c>
      <c r="AJ14" s="234">
        <f>DGcalcul!$K$24</f>
        <v>0</v>
      </c>
      <c r="AK14" s="235">
        <f>DGbaseF2V!T12</f>
        <v>-2.8440295E-4</v>
      </c>
      <c r="AL14" s="247">
        <f t="shared" si="8"/>
        <v>-2.8440295E-4</v>
      </c>
    </row>
    <row r="15" spans="1:41" s="241" customFormat="1" outlineLevel="1" x14ac:dyDescent="0.3">
      <c r="A15" s="216" t="s">
        <v>402</v>
      </c>
      <c r="B15" s="217" t="str">
        <f>DGcalcul!$E$19</f>
        <v>Mixed or Unknown collection</v>
      </c>
      <c r="C15" s="217" t="str">
        <f t="shared" si="2"/>
        <v>HDPE Mixed or Unknown collection</v>
      </c>
      <c r="D15" s="237" t="s">
        <v>331</v>
      </c>
      <c r="E15" s="238" t="s">
        <v>345</v>
      </c>
      <c r="F15" s="220">
        <f>DGcalcul!$E$8</f>
        <v>0</v>
      </c>
      <c r="G15" s="218">
        <f>'DGbase données'!C10</f>
        <v>4.0666881000000002E-4</v>
      </c>
      <c r="H15" s="239">
        <f t="shared" si="3"/>
        <v>4.0666881000000002E-4</v>
      </c>
      <c r="I15" s="220">
        <f>DGcalcul!$E$8</f>
        <v>0</v>
      </c>
      <c r="J15" s="240">
        <v>0.5</v>
      </c>
      <c r="K15" s="223">
        <f>DGbaseF2V!U13</f>
        <v>1.2932781999999999E-4</v>
      </c>
      <c r="L15" s="241">
        <f t="shared" si="0"/>
        <v>4.0666881000000002E-4</v>
      </c>
      <c r="M15" s="240">
        <v>0.9</v>
      </c>
      <c r="N15" s="240">
        <v>1</v>
      </c>
      <c r="O15" s="240">
        <f t="shared" si="4"/>
        <v>0.9</v>
      </c>
      <c r="P15" s="225">
        <f t="shared" si="9"/>
        <v>0</v>
      </c>
      <c r="Q15" s="226">
        <f t="shared" si="5"/>
        <v>4.0666881000000002E-4</v>
      </c>
      <c r="R15" s="242">
        <v>0.5</v>
      </c>
      <c r="S15" s="228" t="e">
        <f>IF(DGcalcul!$I$19="yes",VLOOKUP(DGcalcul!$G$3,DGliste!$F$13:$G$19,2,0),HLOOKUP($A$6,'DGbase données'!$B$78:$E$81,3,0))</f>
        <v>#N/A</v>
      </c>
      <c r="T15" s="223">
        <v>1.5271999999999999E-4</v>
      </c>
      <c r="U15" s="241">
        <f t="shared" si="1"/>
        <v>4.0666881000000002E-4</v>
      </c>
      <c r="V15" s="240">
        <v>0.9</v>
      </c>
      <c r="W15" s="240">
        <v>1</v>
      </c>
      <c r="X15" s="240">
        <f t="shared" si="6"/>
        <v>0.9</v>
      </c>
      <c r="Y15" s="243" t="e">
        <f t="shared" si="7"/>
        <v>#N/A</v>
      </c>
      <c r="Z15" s="244">
        <v>0</v>
      </c>
      <c r="AA15" s="228" t="e">
        <f>IF(DGcalcul!$I$19="yes",VLOOKUP(DGcalcul!$G$3,DGliste!$F$13:$G$19,2,0),HLOOKUP($A$6,'DGbase données'!$B$78:$E$81,2,0))</f>
        <v>#N/A</v>
      </c>
      <c r="AB15" s="224">
        <f>DGbaseF2V!S13</f>
        <v>3.7257835000000002E-7</v>
      </c>
      <c r="AC15" s="231">
        <f>HLOOKUP(C15,DGbasecoll!$B$3:$K$4,2,0)</f>
        <v>19.52</v>
      </c>
      <c r="AD15" s="245">
        <v>0.187</v>
      </c>
      <c r="AE15" s="232">
        <f>DGbasevalo!C11</f>
        <v>2.5191956000000001E-6</v>
      </c>
      <c r="AF15" s="245">
        <v>0.08</v>
      </c>
      <c r="AG15" s="231">
        <f>DGbasevalo!D11</f>
        <v>5.4348756999999998E-6</v>
      </c>
      <c r="AH15" s="246" t="e">
        <f t="shared" si="10"/>
        <v>#N/A</v>
      </c>
      <c r="AI15" s="234">
        <f>DGcalcul!$K$25</f>
        <v>0</v>
      </c>
      <c r="AJ15" s="234">
        <f>DGcalcul!$K$24</f>
        <v>0</v>
      </c>
      <c r="AK15" s="235">
        <f>DGbaseF2V!T13</f>
        <v>-3.3771856999999997E-5</v>
      </c>
      <c r="AL15" s="247">
        <f t="shared" si="8"/>
        <v>-3.3771856999999997E-5</v>
      </c>
    </row>
    <row r="16" spans="1:41" s="241" customFormat="1" outlineLevel="1" x14ac:dyDescent="0.3">
      <c r="A16" s="216" t="s">
        <v>402</v>
      </c>
      <c r="B16" s="217" t="str">
        <f>DGcalcul!$E$19</f>
        <v>Mixed or Unknown collection</v>
      </c>
      <c r="C16" s="217" t="str">
        <f t="shared" si="2"/>
        <v>HDPE Mixed or Unknown collection</v>
      </c>
      <c r="D16" s="237" t="s">
        <v>423</v>
      </c>
      <c r="E16" s="238" t="s">
        <v>424</v>
      </c>
      <c r="F16" s="220">
        <f>DGcalcul!$E$8</f>
        <v>0</v>
      </c>
      <c r="G16" s="218">
        <f>'DGbase données'!C11</f>
        <v>1.8693009E-3</v>
      </c>
      <c r="H16" s="239">
        <f t="shared" si="3"/>
        <v>1.8693009E-3</v>
      </c>
      <c r="I16" s="220">
        <f>DGcalcul!$E$8</f>
        <v>0</v>
      </c>
      <c r="J16" s="240">
        <v>0.5</v>
      </c>
      <c r="K16" s="223">
        <f>DGbaseF2V!U14</f>
        <v>1.4404969E-4</v>
      </c>
      <c r="L16" s="241">
        <f t="shared" si="0"/>
        <v>1.8693009E-3</v>
      </c>
      <c r="M16" s="240">
        <v>0.9</v>
      </c>
      <c r="N16" s="240">
        <v>1</v>
      </c>
      <c r="O16" s="240">
        <f t="shared" si="4"/>
        <v>0.9</v>
      </c>
      <c r="P16" s="225">
        <f t="shared" si="9"/>
        <v>0</v>
      </c>
      <c r="Q16" s="226">
        <f t="shared" si="5"/>
        <v>1.8693009E-3</v>
      </c>
      <c r="R16" s="242">
        <v>0.5</v>
      </c>
      <c r="S16" s="228" t="e">
        <f>IF(DGcalcul!$I$19="yes",VLOOKUP(DGcalcul!$G$3,DGliste!$F$13:$G$19,2,0),HLOOKUP($A$6,'DGbase données'!$B$78:$E$81,3,0))</f>
        <v>#N/A</v>
      </c>
      <c r="T16" s="223">
        <v>8.0216415999999997E-4</v>
      </c>
      <c r="U16" s="241">
        <f t="shared" si="1"/>
        <v>1.8693009E-3</v>
      </c>
      <c r="V16" s="240">
        <v>0.9</v>
      </c>
      <c r="W16" s="240">
        <v>1</v>
      </c>
      <c r="X16" s="240">
        <f t="shared" si="6"/>
        <v>0.9</v>
      </c>
      <c r="Y16" s="243" t="e">
        <f t="shared" si="7"/>
        <v>#N/A</v>
      </c>
      <c r="Z16" s="244">
        <v>0</v>
      </c>
      <c r="AA16" s="228" t="e">
        <f>IF(DGcalcul!$I$19="yes",VLOOKUP(DGcalcul!$G$3,DGliste!$F$13:$G$19,2,0),HLOOKUP($A$6,'DGbase données'!$B$78:$E$81,2,0))</f>
        <v>#N/A</v>
      </c>
      <c r="AB16" s="224">
        <f>DGbaseF2V!S14</f>
        <v>1.5383413E-3</v>
      </c>
      <c r="AC16" s="231">
        <f>HLOOKUP(C16,DGbasecoll!$B$3:$K$4,2,0)</f>
        <v>19.52</v>
      </c>
      <c r="AD16" s="245">
        <v>0.187</v>
      </c>
      <c r="AE16" s="232">
        <f>DGbasevalo!C12</f>
        <v>1.6508956E-5</v>
      </c>
      <c r="AF16" s="245">
        <v>0.08</v>
      </c>
      <c r="AG16" s="231">
        <f>DGbasevalo!D12</f>
        <v>2.8546766999999999E-5</v>
      </c>
      <c r="AH16" s="246" t="e">
        <f t="shared" si="10"/>
        <v>#N/A</v>
      </c>
      <c r="AI16" s="234">
        <f>DGcalcul!$K$25</f>
        <v>0</v>
      </c>
      <c r="AJ16" s="234">
        <f>DGcalcul!$K$24</f>
        <v>0</v>
      </c>
      <c r="AK16" s="235">
        <f>DGbaseF2V!T14</f>
        <v>-5.9943874000000003E-5</v>
      </c>
      <c r="AL16" s="247">
        <f t="shared" si="8"/>
        <v>-5.9943874000000003E-5</v>
      </c>
    </row>
    <row r="17" spans="1:38" s="241" customFormat="1" outlineLevel="1" x14ac:dyDescent="0.3">
      <c r="A17" s="216" t="s">
        <v>402</v>
      </c>
      <c r="B17" s="217" t="str">
        <f>DGcalcul!$E$19</f>
        <v>Mixed or Unknown collection</v>
      </c>
      <c r="C17" s="217" t="str">
        <f t="shared" si="2"/>
        <v>HDPE Mixed or Unknown collection</v>
      </c>
      <c r="D17" s="237" t="s">
        <v>425</v>
      </c>
      <c r="E17" s="238" t="s">
        <v>426</v>
      </c>
      <c r="F17" s="220">
        <f>DGcalcul!$E$8</f>
        <v>0</v>
      </c>
      <c r="G17" s="218">
        <f>'DGbase données'!C12</f>
        <v>1.9826334000000001E-2</v>
      </c>
      <c r="H17" s="239">
        <f t="shared" si="3"/>
        <v>1.9826334000000001E-2</v>
      </c>
      <c r="I17" s="220">
        <f>DGcalcul!$E$8</f>
        <v>0</v>
      </c>
      <c r="J17" s="240">
        <v>0.5</v>
      </c>
      <c r="K17" s="223">
        <f>DGbaseF2V!U15</f>
        <v>1.2871429999999999E-3</v>
      </c>
      <c r="L17" s="241">
        <f t="shared" si="0"/>
        <v>1.9826334000000001E-2</v>
      </c>
      <c r="M17" s="240">
        <v>0.9</v>
      </c>
      <c r="N17" s="240">
        <v>1</v>
      </c>
      <c r="O17" s="240">
        <f t="shared" si="4"/>
        <v>0.9</v>
      </c>
      <c r="P17" s="225">
        <f t="shared" si="9"/>
        <v>0</v>
      </c>
      <c r="Q17" s="226">
        <f t="shared" si="5"/>
        <v>1.9826334000000001E-2</v>
      </c>
      <c r="R17" s="242">
        <v>0.5</v>
      </c>
      <c r="S17" s="228" t="e">
        <f>IF(DGcalcul!$I$19="yes",VLOOKUP(DGcalcul!$G$3,DGliste!$F$13:$G$19,2,0),HLOOKUP($A$6,'DGbase données'!$B$78:$E$81,3,0))</f>
        <v>#N/A</v>
      </c>
      <c r="T17" s="223">
        <v>5.9677845999999996E-3</v>
      </c>
      <c r="U17" s="241">
        <f t="shared" si="1"/>
        <v>1.9826334000000001E-2</v>
      </c>
      <c r="V17" s="240">
        <v>0.9</v>
      </c>
      <c r="W17" s="240">
        <v>1</v>
      </c>
      <c r="X17" s="240">
        <f t="shared" si="6"/>
        <v>0.9</v>
      </c>
      <c r="Y17" s="243" t="e">
        <f t="shared" si="7"/>
        <v>#N/A</v>
      </c>
      <c r="Z17" s="244">
        <v>0</v>
      </c>
      <c r="AA17" s="228" t="e">
        <f>IF(DGcalcul!$I$19="yes",VLOOKUP(DGcalcul!$G$3,DGliste!$F$13:$G$19,2,0),HLOOKUP($A$6,'DGbase données'!$B$78:$E$81,2,0))</f>
        <v>#N/A</v>
      </c>
      <c r="AB17" s="224">
        <f>DGbaseF2V!S15</f>
        <v>1.5909374E-2</v>
      </c>
      <c r="AC17" s="231">
        <f>HLOOKUP(C17,DGbasecoll!$B$3:$K$4,2,0)</f>
        <v>19.52</v>
      </c>
      <c r="AD17" s="245">
        <v>0.187</v>
      </c>
      <c r="AE17" s="232">
        <f>DGbasevalo!C13</f>
        <v>1.7353508999999999E-4</v>
      </c>
      <c r="AF17" s="245">
        <v>0.08</v>
      </c>
      <c r="AG17" s="231">
        <f>DGbasevalo!D13</f>
        <v>2.1237668000000001E-4</v>
      </c>
      <c r="AH17" s="246" t="e">
        <f t="shared" si="10"/>
        <v>#N/A</v>
      </c>
      <c r="AI17" s="234">
        <f>DGcalcul!$K$25</f>
        <v>0</v>
      </c>
      <c r="AJ17" s="234">
        <f>DGcalcul!$K$24</f>
        <v>0</v>
      </c>
      <c r="AK17" s="235">
        <f>DGbaseF2V!T15</f>
        <v>-6.5510446999999996E-4</v>
      </c>
      <c r="AL17" s="247">
        <f t="shared" si="8"/>
        <v>-6.5510446999999996E-4</v>
      </c>
    </row>
    <row r="18" spans="1:38" s="241" customFormat="1" outlineLevel="1" x14ac:dyDescent="0.3">
      <c r="A18" s="216" t="s">
        <v>402</v>
      </c>
      <c r="B18" s="217" t="str">
        <f>DGcalcul!$E$19</f>
        <v>Mixed or Unknown collection</v>
      </c>
      <c r="C18" s="217" t="str">
        <f t="shared" si="2"/>
        <v>HDPE Mixed or Unknown collection</v>
      </c>
      <c r="D18" s="237" t="s">
        <v>427</v>
      </c>
      <c r="E18" s="238" t="s">
        <v>428</v>
      </c>
      <c r="F18" s="220">
        <f>DGcalcul!$E$8</f>
        <v>0</v>
      </c>
      <c r="G18" s="218">
        <f>'DGbase données'!C13</f>
        <v>25.319672000000001</v>
      </c>
      <c r="H18" s="239">
        <f t="shared" si="3"/>
        <v>25.319672000000001</v>
      </c>
      <c r="I18" s="220">
        <f>DGcalcul!$E$8</f>
        <v>0</v>
      </c>
      <c r="J18" s="240">
        <v>0.5</v>
      </c>
      <c r="K18" s="223">
        <f>DGbaseF2V!U16</f>
        <v>0.54138684000000004</v>
      </c>
      <c r="L18" s="241">
        <f t="shared" si="0"/>
        <v>25.319672000000001</v>
      </c>
      <c r="M18" s="240">
        <v>0.9</v>
      </c>
      <c r="N18" s="240">
        <v>1</v>
      </c>
      <c r="O18" s="240">
        <f t="shared" si="4"/>
        <v>0.9</v>
      </c>
      <c r="P18" s="225">
        <f>I18*(J18*K18+(1-J18)*L18*O18)</f>
        <v>0</v>
      </c>
      <c r="Q18" s="226">
        <f t="shared" si="5"/>
        <v>25.319672000000001</v>
      </c>
      <c r="R18" s="242">
        <v>0.5</v>
      </c>
      <c r="S18" s="228" t="e">
        <f>IF(DGcalcul!$I$19="yes",VLOOKUP(DGcalcul!$G$3,DGliste!$F$13:$G$19,2,0),HLOOKUP($A$6,'DGbase données'!$B$78:$E$81,3,0))</f>
        <v>#N/A</v>
      </c>
      <c r="T18" s="223">
        <v>19.626942</v>
      </c>
      <c r="U18" s="241">
        <f t="shared" si="1"/>
        <v>25.319672000000001</v>
      </c>
      <c r="V18" s="240">
        <v>0.9</v>
      </c>
      <c r="W18" s="240">
        <v>1</v>
      </c>
      <c r="X18" s="240">
        <f t="shared" si="6"/>
        <v>0.9</v>
      </c>
      <c r="Y18" s="243" t="e">
        <f t="shared" si="7"/>
        <v>#N/A</v>
      </c>
      <c r="Z18" s="244">
        <v>0</v>
      </c>
      <c r="AA18" s="228" t="e">
        <f>IF(DGcalcul!$I$19="yes",VLOOKUP(DGcalcul!$G$3,DGliste!$F$13:$G$19,2,0),HLOOKUP($A$6,'DGbase données'!$B$78:$E$81,2,0))</f>
        <v>#N/A</v>
      </c>
      <c r="AB18" s="224">
        <f>DGbaseF2V!S16</f>
        <v>4.7172385999999999</v>
      </c>
      <c r="AC18" s="231">
        <f>HLOOKUP(C18,DGbasecoll!$B$3:$K$4,2,0)</f>
        <v>19.52</v>
      </c>
      <c r="AD18" s="245">
        <v>0.187</v>
      </c>
      <c r="AE18" s="232">
        <f>DGbasevalo!C14</f>
        <v>0.42162807000000002</v>
      </c>
      <c r="AF18" s="245">
        <v>0.08</v>
      </c>
      <c r="AG18" s="231">
        <f>DGbasevalo!D14</f>
        <v>0.69846766999999998</v>
      </c>
      <c r="AH18" s="246" t="e">
        <f t="shared" si="10"/>
        <v>#N/A</v>
      </c>
      <c r="AI18" s="234">
        <f>DGcalcul!$K$25</f>
        <v>0</v>
      </c>
      <c r="AJ18" s="234">
        <f>DGcalcul!$K$24</f>
        <v>0</v>
      </c>
      <c r="AK18" s="235">
        <f>DGbaseF2V!T16</f>
        <v>-0.97420434</v>
      </c>
      <c r="AL18" s="247">
        <f t="shared" si="8"/>
        <v>-0.97420434</v>
      </c>
    </row>
    <row r="19" spans="1:38" s="241" customFormat="1" outlineLevel="1" x14ac:dyDescent="0.3">
      <c r="A19" s="216" t="s">
        <v>402</v>
      </c>
      <c r="B19" s="217" t="str">
        <f>DGcalcul!$E$19</f>
        <v>Mixed or Unknown collection</v>
      </c>
      <c r="C19" s="217" t="str">
        <f t="shared" si="2"/>
        <v>HDPE Mixed or Unknown collection</v>
      </c>
      <c r="D19" s="237" t="s">
        <v>429</v>
      </c>
      <c r="E19" s="238" t="s">
        <v>430</v>
      </c>
      <c r="F19" s="220">
        <f>DGcalcul!$E$8</f>
        <v>0</v>
      </c>
      <c r="G19" s="218">
        <f>'DGbase données'!C14</f>
        <v>3.6198277999999999</v>
      </c>
      <c r="H19" s="239">
        <f t="shared" si="3"/>
        <v>3.6198277999999999</v>
      </c>
      <c r="I19" s="220">
        <f>DGcalcul!$E$8</f>
        <v>0</v>
      </c>
      <c r="J19" s="240">
        <v>0.5</v>
      </c>
      <c r="K19" s="223">
        <f>DGbaseF2V!U17</f>
        <v>0.60284764000000002</v>
      </c>
      <c r="L19" s="241">
        <f t="shared" si="0"/>
        <v>3.6198277999999999</v>
      </c>
      <c r="M19" s="240">
        <v>0.9</v>
      </c>
      <c r="N19" s="240">
        <v>1</v>
      </c>
      <c r="O19" s="240">
        <f t="shared" si="4"/>
        <v>0.9</v>
      </c>
      <c r="P19" s="225">
        <f>I19*(J19*K19+(1-J19)*L19*O19)</f>
        <v>0</v>
      </c>
      <c r="Q19" s="226">
        <f t="shared" si="5"/>
        <v>3.6198277999999999</v>
      </c>
      <c r="R19" s="242">
        <v>0.5</v>
      </c>
      <c r="S19" s="228" t="e">
        <f>IF(DGcalcul!$I$19="yes",VLOOKUP(DGcalcul!$G$3,DGliste!$F$13:$G$19,2,0),HLOOKUP($A$6,'DGbase données'!$B$78:$E$81,3,0))</f>
        <v>#N/A</v>
      </c>
      <c r="T19" s="223">
        <v>3.0932457000000002</v>
      </c>
      <c r="U19" s="241">
        <f t="shared" si="1"/>
        <v>3.6198277999999999</v>
      </c>
      <c r="V19" s="240">
        <v>0.9</v>
      </c>
      <c r="W19" s="240">
        <v>1</v>
      </c>
      <c r="X19" s="240">
        <f t="shared" si="6"/>
        <v>0.9</v>
      </c>
      <c r="Y19" s="243" t="e">
        <f t="shared" si="7"/>
        <v>#N/A</v>
      </c>
      <c r="Z19" s="244">
        <v>0</v>
      </c>
      <c r="AA19" s="228" t="e">
        <f>IF(DGcalcul!$I$19="yes",VLOOKUP(DGcalcul!$G$3,DGliste!$F$13:$G$19,2,0),HLOOKUP($A$6,'DGbase données'!$B$78:$E$81,2,0))</f>
        <v>#N/A</v>
      </c>
      <c r="AB19" s="224">
        <f>DGbaseF2V!S17</f>
        <v>0</v>
      </c>
      <c r="AC19" s="231">
        <f>HLOOKUP(C19,DGbasecoll!$B$3:$K$4,2,0)</f>
        <v>19.52</v>
      </c>
      <c r="AD19" s="245">
        <v>0.187</v>
      </c>
      <c r="AE19" s="232">
        <f>DGbasevalo!C15</f>
        <v>4.2297600999999997E-2</v>
      </c>
      <c r="AF19" s="245">
        <v>0.08</v>
      </c>
      <c r="AG19" s="231">
        <f>DGbasevalo!D15</f>
        <v>0.11007992</v>
      </c>
      <c r="AH19" s="246" t="e">
        <f t="shared" si="10"/>
        <v>#N/A</v>
      </c>
      <c r="AI19" s="234">
        <f>DGcalcul!$K$25</f>
        <v>0</v>
      </c>
      <c r="AJ19" s="234">
        <f>DGcalcul!$K$24</f>
        <v>0</v>
      </c>
      <c r="AK19" s="235">
        <f>DGbaseF2V!T17</f>
        <v>0</v>
      </c>
      <c r="AL19" s="247">
        <f t="shared" si="8"/>
        <v>0</v>
      </c>
    </row>
    <row r="20" spans="1:38" s="241" customFormat="1" outlineLevel="1" x14ac:dyDescent="0.3">
      <c r="A20" s="216" t="s">
        <v>402</v>
      </c>
      <c r="B20" s="217" t="str">
        <f>DGcalcul!$E$19</f>
        <v>Mixed or Unknown collection</v>
      </c>
      <c r="C20" s="217" t="str">
        <f t="shared" si="2"/>
        <v>HDPE Mixed or Unknown collection</v>
      </c>
      <c r="D20" s="237" t="s">
        <v>332</v>
      </c>
      <c r="E20" s="238" t="s">
        <v>431</v>
      </c>
      <c r="F20" s="220">
        <f>DGcalcul!$E$8</f>
        <v>0</v>
      </c>
      <c r="G20" s="218">
        <f>'DGbase données'!C15</f>
        <v>1.0867594</v>
      </c>
      <c r="H20" s="239">
        <f t="shared" si="3"/>
        <v>1.0867594</v>
      </c>
      <c r="I20" s="220">
        <f>DGcalcul!$E$8</f>
        <v>0</v>
      </c>
      <c r="J20" s="240">
        <v>0.5</v>
      </c>
      <c r="K20" s="223">
        <f>DGbaseF2V!U18</f>
        <v>7.3283254000000006E-2</v>
      </c>
      <c r="L20" s="241">
        <f t="shared" si="0"/>
        <v>1.0867594</v>
      </c>
      <c r="M20" s="240">
        <v>0.9</v>
      </c>
      <c r="N20" s="240">
        <v>1</v>
      </c>
      <c r="O20" s="240">
        <f t="shared" si="4"/>
        <v>0.9</v>
      </c>
      <c r="P20" s="225">
        <f t="shared" ref="P20:P22" si="11">I20*(J20*K20+(1-J20)*L20*O20)</f>
        <v>0</v>
      </c>
      <c r="Q20" s="226">
        <f t="shared" si="5"/>
        <v>1.0867594</v>
      </c>
      <c r="R20" s="242">
        <v>0.5</v>
      </c>
      <c r="S20" s="228" t="e">
        <f>IF(DGcalcul!$I$19="yes",VLOOKUP(DGcalcul!$G$3,DGliste!$F$13:$G$19,2,0),HLOOKUP($A$6,'DGbase données'!$B$78:$E$81,3,0))</f>
        <v>#N/A</v>
      </c>
      <c r="T20" s="223">
        <v>0.21382212</v>
      </c>
      <c r="U20" s="241">
        <f>L20</f>
        <v>1.0867594</v>
      </c>
      <c r="V20" s="240">
        <v>0.9</v>
      </c>
      <c r="W20" s="240">
        <v>1</v>
      </c>
      <c r="X20" s="240">
        <f t="shared" si="6"/>
        <v>0.9</v>
      </c>
      <c r="Y20" s="243" t="e">
        <f t="shared" si="7"/>
        <v>#N/A</v>
      </c>
      <c r="Z20" s="244">
        <v>0</v>
      </c>
      <c r="AA20" s="228" t="e">
        <f>IF(DGcalcul!$I$19="yes",VLOOKUP(DGcalcul!$G$3,DGliste!$F$13:$G$19,2,0),HLOOKUP($A$6,'DGbase données'!$B$78:$E$81,2,0))</f>
        <v>#N/A</v>
      </c>
      <c r="AB20" s="224">
        <f>DGbaseF2V!S18</f>
        <v>-0.15971267</v>
      </c>
      <c r="AC20" s="231">
        <f>HLOOKUP(C20,DGbasecoll!$B$3:$K$4,2,0)</f>
        <v>19.52</v>
      </c>
      <c r="AD20" s="245">
        <v>0.187</v>
      </c>
      <c r="AE20" s="232">
        <f>DGbasevalo!C16</f>
        <v>9.3119741999999998E-4</v>
      </c>
      <c r="AF20" s="245">
        <v>0.08</v>
      </c>
      <c r="AG20" s="231">
        <f>DGbasevalo!D16</f>
        <v>7.6093280000000003E-3</v>
      </c>
      <c r="AH20" s="246" t="e">
        <f t="shared" si="10"/>
        <v>#N/A</v>
      </c>
      <c r="AI20" s="234">
        <f>DGcalcul!$K$25</f>
        <v>0</v>
      </c>
      <c r="AJ20" s="234">
        <f>DGcalcul!$K$24</f>
        <v>0</v>
      </c>
      <c r="AK20" s="235">
        <f>DGbaseF2V!T18</f>
        <v>-4.3465658000000004E-3</v>
      </c>
      <c r="AL20" s="247">
        <f t="shared" si="8"/>
        <v>-4.3465658000000004E-3</v>
      </c>
    </row>
    <row r="21" spans="1:38" s="241" customFormat="1" outlineLevel="1" x14ac:dyDescent="0.3">
      <c r="A21" s="216" t="s">
        <v>402</v>
      </c>
      <c r="B21" s="217" t="str">
        <f>DGcalcul!$E$19</f>
        <v>Mixed or Unknown collection</v>
      </c>
      <c r="C21" s="217" t="str">
        <f t="shared" si="2"/>
        <v>HDPE Mixed or Unknown collection</v>
      </c>
      <c r="D21" s="237" t="s">
        <v>432</v>
      </c>
      <c r="E21" s="238" t="s">
        <v>347</v>
      </c>
      <c r="F21" s="220">
        <f>DGcalcul!$E$8</f>
        <v>0</v>
      </c>
      <c r="G21" s="218">
        <f>'DGbase données'!C16</f>
        <v>73.968770000000006</v>
      </c>
      <c r="H21" s="239">
        <f t="shared" si="3"/>
        <v>73.968770000000006</v>
      </c>
      <c r="I21" s="220">
        <f>DGcalcul!$E$8</f>
        <v>0</v>
      </c>
      <c r="J21" s="240">
        <v>0.5</v>
      </c>
      <c r="K21" s="223">
        <f>DGbaseF2V!U19</f>
        <v>2.4700552999999998</v>
      </c>
      <c r="L21" s="241">
        <f t="shared" si="0"/>
        <v>73.968770000000006</v>
      </c>
      <c r="M21" s="240">
        <v>0.9</v>
      </c>
      <c r="N21" s="240">
        <v>1</v>
      </c>
      <c r="O21" s="240">
        <f t="shared" si="4"/>
        <v>0.9</v>
      </c>
      <c r="P21" s="225">
        <f t="shared" si="11"/>
        <v>0</v>
      </c>
      <c r="Q21" s="226">
        <f t="shared" si="5"/>
        <v>73.968770000000006</v>
      </c>
      <c r="R21" s="242">
        <v>0.5</v>
      </c>
      <c r="S21" s="228" t="e">
        <f>IF(DGcalcul!$I$19="yes",VLOOKUP(DGcalcul!$G$3,DGliste!$F$13:$G$19,2,0),HLOOKUP($A$6,'DGbase données'!$B$78:$E$81,3,0))</f>
        <v>#N/A</v>
      </c>
      <c r="T21" s="223">
        <v>90.080584000000002</v>
      </c>
      <c r="U21" s="241">
        <f t="shared" si="1"/>
        <v>73.968770000000006</v>
      </c>
      <c r="V21" s="240">
        <v>0.9</v>
      </c>
      <c r="W21" s="240">
        <v>1</v>
      </c>
      <c r="X21" s="240">
        <f t="shared" si="6"/>
        <v>0.9</v>
      </c>
      <c r="Y21" s="243" t="e">
        <f t="shared" si="7"/>
        <v>#N/A</v>
      </c>
      <c r="Z21" s="244">
        <v>0</v>
      </c>
      <c r="AA21" s="228" t="e">
        <f>IF(DGcalcul!$I$19="yes",VLOOKUP(DGcalcul!$G$3,DGliste!$F$13:$G$19,2,0),HLOOKUP($A$6,'DGbase données'!$B$78:$E$81,2,0))</f>
        <v>#N/A</v>
      </c>
      <c r="AB21" s="224">
        <f>DGbaseF2V!S19</f>
        <v>32.439762000000002</v>
      </c>
      <c r="AC21" s="231">
        <f>HLOOKUP(C21,DGbasecoll!$B$3:$K$4,2,0)</f>
        <v>19.52</v>
      </c>
      <c r="AD21" s="245">
        <v>0.187</v>
      </c>
      <c r="AE21" s="232">
        <f>DGbasevalo!C17</f>
        <v>1.1585103000000001</v>
      </c>
      <c r="AF21" s="245">
        <v>0.08</v>
      </c>
      <c r="AG21" s="231">
        <f>DGbasevalo!D17</f>
        <v>3.2057147000000001</v>
      </c>
      <c r="AH21" s="246" t="e">
        <f t="shared" si="10"/>
        <v>#N/A</v>
      </c>
      <c r="AI21" s="234">
        <f>DGcalcul!$K$25</f>
        <v>0</v>
      </c>
      <c r="AJ21" s="234">
        <f>DGcalcul!$K$24</f>
        <v>0</v>
      </c>
      <c r="AK21" s="235">
        <f>DGbaseF2V!T19</f>
        <v>-1.1173516999999999</v>
      </c>
      <c r="AL21" s="247">
        <f t="shared" si="8"/>
        <v>-1.1173516999999999</v>
      </c>
    </row>
    <row r="22" spans="1:38" s="248" customFormat="1" outlineLevel="1" x14ac:dyDescent="0.3">
      <c r="A22" s="216" t="s">
        <v>402</v>
      </c>
      <c r="B22" s="217" t="str">
        <f>DGcalcul!$E$19</f>
        <v>Mixed or Unknown collection</v>
      </c>
      <c r="C22" s="217" t="str">
        <f t="shared" si="2"/>
        <v>HDPE Mixed or Unknown collection</v>
      </c>
      <c r="D22" s="248" t="s">
        <v>334</v>
      </c>
      <c r="E22" s="249" t="s">
        <v>348</v>
      </c>
      <c r="F22" s="220">
        <f>DGcalcul!$E$8</f>
        <v>0</v>
      </c>
      <c r="G22" s="218">
        <f>'DGbase données'!C17</f>
        <v>1.4350138000000001E-5</v>
      </c>
      <c r="H22" s="250">
        <f>(1-F22)*G22</f>
        <v>1.4350138000000001E-5</v>
      </c>
      <c r="I22" s="220">
        <f>DGcalcul!$E$8</f>
        <v>0</v>
      </c>
      <c r="J22" s="240">
        <v>0.5</v>
      </c>
      <c r="K22" s="223">
        <f>DGbaseF2V!U20</f>
        <v>3.7907655999999999E-7</v>
      </c>
      <c r="L22" s="248">
        <f t="shared" si="0"/>
        <v>1.4350138000000001E-5</v>
      </c>
      <c r="M22" s="251">
        <v>0.9</v>
      </c>
      <c r="N22" s="251">
        <v>1</v>
      </c>
      <c r="O22" s="251">
        <f t="shared" si="4"/>
        <v>0.9</v>
      </c>
      <c r="P22" s="225">
        <f t="shared" si="11"/>
        <v>0</v>
      </c>
      <c r="Q22" s="226">
        <f t="shared" si="5"/>
        <v>1.4350138000000001E-5</v>
      </c>
      <c r="R22" s="252">
        <v>0.5</v>
      </c>
      <c r="S22" s="228" t="e">
        <f>IF(DGcalcul!$I$19="yes",VLOOKUP(DGcalcul!$G$3,DGliste!$F$13:$G$19,2,0),HLOOKUP($A$6,'DGbase données'!$B$78:$E$81,3,0))</f>
        <v>#N/A</v>
      </c>
      <c r="T22" s="223">
        <v>6.1933311000000002E-6</v>
      </c>
      <c r="U22" s="248">
        <f t="shared" si="1"/>
        <v>1.4350138000000001E-5</v>
      </c>
      <c r="V22" s="251">
        <v>0.9</v>
      </c>
      <c r="W22" s="251">
        <v>1</v>
      </c>
      <c r="X22" s="251">
        <f t="shared" si="6"/>
        <v>0.9</v>
      </c>
      <c r="Y22" s="253" t="e">
        <f t="shared" si="7"/>
        <v>#N/A</v>
      </c>
      <c r="Z22" s="254">
        <v>0</v>
      </c>
      <c r="AA22" s="228" t="e">
        <f>IF(DGcalcul!$I$19="yes",VLOOKUP(DGcalcul!$G$3,DGliste!$F$13:$G$19,2,0),HLOOKUP($A$6,'DGbase données'!$B$78:$E$81,2,0))</f>
        <v>#N/A</v>
      </c>
      <c r="AB22" s="224">
        <f>DGbaseF2V!S20</f>
        <v>7.4376084999999994E-8</v>
      </c>
      <c r="AC22" s="231">
        <f>HLOOKUP(C22,DGbasecoll!$B$3:$K$4,2,0)</f>
        <v>19.52</v>
      </c>
      <c r="AD22" s="255">
        <v>0.187</v>
      </c>
      <c r="AE22" s="232">
        <f>DGbasevalo!C18</f>
        <v>9.4112040000000002E-8</v>
      </c>
      <c r="AF22" s="255">
        <v>0.08</v>
      </c>
      <c r="AG22" s="231">
        <f>DGbasevalo!D18</f>
        <v>2.2040323999999999E-7</v>
      </c>
      <c r="AH22" s="256" t="e">
        <f>(1-Z22)*AA22*(AB22-AC22*AD22*AE22-AC22*AF22*AG22)</f>
        <v>#N/A</v>
      </c>
      <c r="AI22" s="234">
        <f>DGcalcul!$K$25</f>
        <v>0</v>
      </c>
      <c r="AJ22" s="234">
        <f>DGcalcul!$K$24</f>
        <v>0</v>
      </c>
      <c r="AK22" s="235">
        <f>DGbaseF2V!T20</f>
        <v>-5.4718007000000003E-9</v>
      </c>
      <c r="AL22" s="257">
        <f t="shared" si="8"/>
        <v>-5.4718007000000003E-9</v>
      </c>
    </row>
    <row r="23" spans="1:38" s="215" customFormat="1" ht="18" x14ac:dyDescent="0.35">
      <c r="A23" s="201" t="s">
        <v>403</v>
      </c>
      <c r="B23" s="202"/>
      <c r="C23" s="202"/>
      <c r="D23" s="203"/>
      <c r="E23" s="203"/>
      <c r="F23" s="204"/>
      <c r="G23" s="203"/>
      <c r="H23" s="205"/>
      <c r="I23" s="203"/>
      <c r="J23" s="203"/>
      <c r="K23" s="203"/>
      <c r="L23" s="203"/>
      <c r="M23" s="203"/>
      <c r="N23" s="203"/>
      <c r="O23" s="203"/>
      <c r="P23" s="205"/>
      <c r="Q23" s="205"/>
      <c r="R23" s="203"/>
      <c r="S23" s="206"/>
      <c r="T23" s="203"/>
      <c r="U23" s="203"/>
      <c r="V23" s="203"/>
      <c r="W23" s="203"/>
      <c r="X23" s="203"/>
      <c r="Y23" s="207"/>
      <c r="Z23" s="208"/>
      <c r="AA23" s="209"/>
      <c r="AB23" s="203"/>
      <c r="AC23" s="203"/>
      <c r="AD23" s="203"/>
      <c r="AE23" s="203"/>
      <c r="AF23" s="203"/>
      <c r="AG23" s="203"/>
      <c r="AH23" s="210"/>
      <c r="AI23" s="211"/>
      <c r="AJ23" s="212"/>
      <c r="AK23" s="213"/>
      <c r="AL23" s="214"/>
    </row>
    <row r="24" spans="1:38" s="224" customFormat="1" outlineLevel="1" x14ac:dyDescent="0.3">
      <c r="A24" s="216" t="s">
        <v>403</v>
      </c>
      <c r="B24" s="217" t="str">
        <f>DGcalcul!$E$19</f>
        <v>Mixed or Unknown collection</v>
      </c>
      <c r="C24" s="217" t="str">
        <f>CONCATENATE(A24," ",B24)</f>
        <v>PP Mixed or Unknown collection</v>
      </c>
      <c r="D24" s="218" t="s">
        <v>327</v>
      </c>
      <c r="E24" s="219" t="s">
        <v>336</v>
      </c>
      <c r="F24" s="220">
        <f>DGcalcul!$E$8</f>
        <v>0</v>
      </c>
      <c r="G24" s="218">
        <f>'DGbase données'!D2</f>
        <v>2.3770953000000001</v>
      </c>
      <c r="H24" s="221">
        <f t="shared" ref="H24:H39" si="12">(1-F24)*G24</f>
        <v>2.3770953000000001</v>
      </c>
      <c r="I24" s="220">
        <f>DGcalcul!$E$8</f>
        <v>0</v>
      </c>
      <c r="J24" s="222">
        <v>0.5</v>
      </c>
      <c r="K24" s="224">
        <f>DGbaseF2V!F5</f>
        <v>0.15934054</v>
      </c>
      <c r="L24" s="224">
        <f t="shared" si="0"/>
        <v>2.3770953000000001</v>
      </c>
      <c r="M24" s="222">
        <v>0.9</v>
      </c>
      <c r="N24" s="222">
        <v>1</v>
      </c>
      <c r="O24" s="222">
        <f>M24/N24</f>
        <v>0.9</v>
      </c>
      <c r="P24" s="225">
        <f>I24*(J24*K24+(1-J24)*L24*O24)</f>
        <v>0</v>
      </c>
      <c r="Q24" s="258">
        <f>H24+P24</f>
        <v>2.3770953000000001</v>
      </c>
      <c r="R24" s="227">
        <v>0.5</v>
      </c>
      <c r="S24" s="228" t="e">
        <f>IF(DGcalcul!$I$19="yes",VLOOKUP(DGcalcul!$G$3,DGliste!$F$13:$G$19,2,0),HLOOKUP($A$23,'DGbase données'!$B$78:$E$81,3,0))</f>
        <v>#N/A</v>
      </c>
      <c r="T24" s="224">
        <v>0.55055748000000004</v>
      </c>
      <c r="U24" s="224">
        <f t="shared" si="1"/>
        <v>2.3770953000000001</v>
      </c>
      <c r="V24" s="222">
        <v>0.9</v>
      </c>
      <c r="W24" s="222">
        <v>1</v>
      </c>
      <c r="X24" s="222">
        <f>V24/W24</f>
        <v>0.9</v>
      </c>
      <c r="Y24" s="229" t="e">
        <f>(1-R24)*S24*(T24-U24*X24)</f>
        <v>#N/A</v>
      </c>
      <c r="Z24" s="230">
        <v>0</v>
      </c>
      <c r="AA24" s="228" t="e">
        <f>IF(DGcalcul!$I$19="yes",VLOOKUP(DGcalcul!$G$3,DGliste!$F$13:$G$19,2,0),HLOOKUP($A$23,'DGbase données'!$B$78:$E$81,2,0))</f>
        <v>#N/A</v>
      </c>
      <c r="AB24" s="224">
        <f>DGbaseF2V!D5</f>
        <v>-0.86572464999999998</v>
      </c>
      <c r="AC24" s="231">
        <f>HLOOKUP(C24,DGbasecoll!$B$3:$K$4,2,0)</f>
        <v>19.52</v>
      </c>
      <c r="AD24" s="228">
        <v>0.187</v>
      </c>
      <c r="AE24" s="232">
        <f>DGbasevalo!C3</f>
        <v>7.7330222000000004E-2</v>
      </c>
      <c r="AF24" s="228">
        <v>0.08</v>
      </c>
      <c r="AG24" s="231">
        <f>DGbasevalo!D3</f>
        <v>2.2289777E-2</v>
      </c>
      <c r="AH24" s="233" t="e">
        <f>(1-Z24)*AA24*(AB24-AC24*AD24*AE24-AC24*AF24*AG24)</f>
        <v>#N/A</v>
      </c>
      <c r="AI24" s="234">
        <f>DGcalcul!$K$25</f>
        <v>0</v>
      </c>
      <c r="AJ24" s="234">
        <f>DGcalcul!$K$24</f>
        <v>0</v>
      </c>
      <c r="AK24" s="235">
        <f>DGbaseF2V!E5</f>
        <v>-7.1919412000000002E-2</v>
      </c>
      <c r="AL24" s="236">
        <f t="shared" si="8"/>
        <v>-7.1919412000000002E-2</v>
      </c>
    </row>
    <row r="25" spans="1:38" s="241" customFormat="1" outlineLevel="1" x14ac:dyDescent="0.3">
      <c r="A25" s="259" t="s">
        <v>403</v>
      </c>
      <c r="B25" s="217" t="str">
        <f>DGcalcul!$E$19</f>
        <v>Mixed or Unknown collection</v>
      </c>
      <c r="C25" s="217" t="str">
        <f t="shared" ref="C25:C88" si="13">CONCATENATE(A25," ",B25)</f>
        <v>PP Mixed or Unknown collection</v>
      </c>
      <c r="D25" s="237" t="s">
        <v>416</v>
      </c>
      <c r="E25" s="238" t="s">
        <v>417</v>
      </c>
      <c r="F25" s="220">
        <f>DGcalcul!$E$8</f>
        <v>0</v>
      </c>
      <c r="G25" s="218">
        <f>'DGbase données'!D3</f>
        <v>4.4766572999999999E-8</v>
      </c>
      <c r="H25" s="239">
        <f t="shared" si="12"/>
        <v>4.4766572999999999E-8</v>
      </c>
      <c r="I25" s="220">
        <f>DGcalcul!$E$8</f>
        <v>0</v>
      </c>
      <c r="J25" s="240">
        <v>0.5</v>
      </c>
      <c r="K25" s="224">
        <f>DGbaseF2V!F6</f>
        <v>3.0499457000000001E-9</v>
      </c>
      <c r="L25" s="241">
        <f t="shared" si="0"/>
        <v>4.4766572999999999E-8</v>
      </c>
      <c r="M25" s="240">
        <v>0.9</v>
      </c>
      <c r="N25" s="240">
        <v>1</v>
      </c>
      <c r="O25" s="240">
        <f t="shared" ref="O25:O39" si="14">M25/N25</f>
        <v>0.9</v>
      </c>
      <c r="P25" s="225">
        <f t="shared" ref="P25:P39" si="15">I25*(J25*K25+(1-J25)*L25*O25)</f>
        <v>0</v>
      </c>
      <c r="Q25" s="260">
        <f>H25+P25</f>
        <v>4.4766572999999999E-8</v>
      </c>
      <c r="R25" s="242">
        <v>0.5</v>
      </c>
      <c r="S25" s="228" t="e">
        <f>IF(DGcalcul!$I$19="yes",VLOOKUP(DGcalcul!$G$3,DGliste!$F$13:$G$19,2,0),HLOOKUP($A$23,'DGbase données'!$B$78:$E$81,3,0))</f>
        <v>#N/A</v>
      </c>
      <c r="T25" s="241">
        <v>5.7830388999999997E-8</v>
      </c>
      <c r="U25" s="241">
        <f t="shared" si="1"/>
        <v>4.4766572999999999E-8</v>
      </c>
      <c r="V25" s="240">
        <v>0.9</v>
      </c>
      <c r="W25" s="240">
        <v>1</v>
      </c>
      <c r="X25" s="240">
        <f t="shared" ref="X25:X39" si="16">V25/W25</f>
        <v>0.9</v>
      </c>
      <c r="Y25" s="243" t="e">
        <f t="shared" ref="Y25:Y39" si="17">(1-R25)*S25*(T25-U25*X25)</f>
        <v>#N/A</v>
      </c>
      <c r="Z25" s="244">
        <v>0</v>
      </c>
      <c r="AA25" s="228" t="e">
        <f>IF(DGcalcul!$I$19="yes",VLOOKUP(DGcalcul!$G$3,DGliste!$F$13:$G$19,2,0),HLOOKUP($A$23,'DGbase données'!$B$78:$E$81,2,0))</f>
        <v>#N/A</v>
      </c>
      <c r="AB25" s="224">
        <f>DGbaseF2V!D6</f>
        <v>1.6045051000000001E-7</v>
      </c>
      <c r="AC25" s="231">
        <f>HLOOKUP(C25,DGbasecoll!$B$3:$K$4,2,0)</f>
        <v>19.52</v>
      </c>
      <c r="AD25" s="245">
        <v>0.187</v>
      </c>
      <c r="AE25" s="232">
        <f>DGbasevalo!C4</f>
        <v>8.0992136000000005E-9</v>
      </c>
      <c r="AF25" s="245">
        <v>0.08</v>
      </c>
      <c r="AG25" s="231">
        <f>DGbasevalo!D4</f>
        <v>2.3413113000000001E-9</v>
      </c>
      <c r="AH25" s="246" t="e">
        <f t="shared" ref="AH25:AH39" si="18">(1-Z25)*AA25*(AB25-AC25*AD25*AE25-AC25*AF25*AG25)</f>
        <v>#N/A</v>
      </c>
      <c r="AI25" s="234">
        <f>DGcalcul!$K$25</f>
        <v>0</v>
      </c>
      <c r="AJ25" s="234">
        <f>DGcalcul!$K$24</f>
        <v>0</v>
      </c>
      <c r="AK25" s="235">
        <f>DGbaseF2V!E6</f>
        <v>-2.2703682000000001E-9</v>
      </c>
      <c r="AL25" s="247">
        <f t="shared" si="8"/>
        <v>-2.2703682000000001E-9</v>
      </c>
    </row>
    <row r="26" spans="1:38" s="241" customFormat="1" outlineLevel="1" x14ac:dyDescent="0.3">
      <c r="A26" s="259" t="s">
        <v>403</v>
      </c>
      <c r="B26" s="217" t="str">
        <f>DGcalcul!$E$19</f>
        <v>Mixed or Unknown collection</v>
      </c>
      <c r="C26" s="217" t="str">
        <f t="shared" si="13"/>
        <v>PP Mixed or Unknown collection</v>
      </c>
      <c r="D26" s="237" t="s">
        <v>418</v>
      </c>
      <c r="E26" s="238" t="s">
        <v>419</v>
      </c>
      <c r="F26" s="220">
        <f>DGcalcul!$E$8</f>
        <v>0</v>
      </c>
      <c r="G26" s="218">
        <f>'DGbase données'!D4</f>
        <v>6.0418659E-2</v>
      </c>
      <c r="H26" s="239">
        <f t="shared" si="12"/>
        <v>6.0418659E-2</v>
      </c>
      <c r="I26" s="220">
        <f>DGcalcul!$E$8</f>
        <v>0</v>
      </c>
      <c r="J26" s="240">
        <v>0.5</v>
      </c>
      <c r="K26" s="224">
        <f>DGbaseF2V!F7</f>
        <v>9.7333377999999998E-2</v>
      </c>
      <c r="L26" s="241">
        <f t="shared" si="0"/>
        <v>6.0418659E-2</v>
      </c>
      <c r="M26" s="240">
        <v>0.9</v>
      </c>
      <c r="N26" s="240">
        <v>1</v>
      </c>
      <c r="O26" s="240">
        <f t="shared" si="14"/>
        <v>0.9</v>
      </c>
      <c r="P26" s="225">
        <f t="shared" si="15"/>
        <v>0</v>
      </c>
      <c r="Q26" s="260">
        <f t="shared" ref="Q26:Q39" si="19">H26+P26</f>
        <v>6.0418659E-2</v>
      </c>
      <c r="R26" s="242">
        <v>0.5</v>
      </c>
      <c r="S26" s="228" t="e">
        <f>IF(DGcalcul!$I$19="yes",VLOOKUP(DGcalcul!$G$3,DGliste!$F$13:$G$19,2,0),HLOOKUP($A$23,'DGbase données'!$B$78:$E$81,3,0))</f>
        <v>#N/A</v>
      </c>
      <c r="T26" s="241">
        <v>3.6364092000000001</v>
      </c>
      <c r="U26" s="241">
        <f t="shared" si="1"/>
        <v>6.0418659E-2</v>
      </c>
      <c r="V26" s="240">
        <v>0.9</v>
      </c>
      <c r="W26" s="240">
        <v>1</v>
      </c>
      <c r="X26" s="240">
        <f t="shared" si="16"/>
        <v>0.9</v>
      </c>
      <c r="Y26" s="243" t="e">
        <f>(1-R26)*S26*(T26-U26*X26)</f>
        <v>#N/A</v>
      </c>
      <c r="Z26" s="244">
        <v>0</v>
      </c>
      <c r="AA26" s="228" t="e">
        <f>IF(DGcalcul!$I$19="yes",VLOOKUP(DGcalcul!$G$3,DGliste!$F$13:$G$19,2,0),HLOOKUP($A$23,'DGbase données'!$B$78:$E$81,2,0))</f>
        <v>#N/A</v>
      </c>
      <c r="AB26" s="224">
        <f>DGbaseF2V!D7</f>
        <v>0.25370590999999998</v>
      </c>
      <c r="AC26" s="231">
        <f>HLOOKUP(C26,DGbasecoll!$B$3:$K$4,2,0)</f>
        <v>19.52</v>
      </c>
      <c r="AD26" s="245">
        <v>0.187</v>
      </c>
      <c r="AE26" s="232">
        <f>DGbasevalo!C5</f>
        <v>1.1716807000000001E-3</v>
      </c>
      <c r="AF26" s="245">
        <v>0.08</v>
      </c>
      <c r="AG26" s="231">
        <f>DGbasevalo!D5</f>
        <v>0.14722304</v>
      </c>
      <c r="AH26" s="246" t="e">
        <f t="shared" si="18"/>
        <v>#N/A</v>
      </c>
      <c r="AI26" s="234">
        <f>DGcalcul!$K$25</f>
        <v>0</v>
      </c>
      <c r="AJ26" s="234">
        <f>DGcalcul!$K$24</f>
        <v>0</v>
      </c>
      <c r="AK26" s="235">
        <f>DGbaseF2V!E7</f>
        <v>-3.5874136E-3</v>
      </c>
      <c r="AL26" s="247">
        <f t="shared" si="8"/>
        <v>-3.5874136E-3</v>
      </c>
    </row>
    <row r="27" spans="1:38" s="241" customFormat="1" outlineLevel="1" x14ac:dyDescent="0.3">
      <c r="A27" s="259" t="s">
        <v>403</v>
      </c>
      <c r="B27" s="217" t="str">
        <f>DGcalcul!$E$19</f>
        <v>Mixed or Unknown collection</v>
      </c>
      <c r="C27" s="217" t="str">
        <f t="shared" si="13"/>
        <v>PP Mixed or Unknown collection</v>
      </c>
      <c r="D27" s="237" t="s">
        <v>328</v>
      </c>
      <c r="E27" s="238" t="s">
        <v>342</v>
      </c>
      <c r="F27" s="220">
        <f>DGcalcul!$E$8</f>
        <v>0</v>
      </c>
      <c r="G27" s="218">
        <f>'DGbase données'!D5</f>
        <v>7.7563889000000002E-3</v>
      </c>
      <c r="H27" s="239">
        <f t="shared" si="12"/>
        <v>7.7563889000000002E-3</v>
      </c>
      <c r="I27" s="220">
        <f>DGcalcul!$E$8</f>
        <v>0</v>
      </c>
      <c r="J27" s="240">
        <v>0.5</v>
      </c>
      <c r="K27" s="224">
        <f>DGbaseF2V!F8</f>
        <v>4.3002854000000001E-4</v>
      </c>
      <c r="L27" s="241">
        <f t="shared" si="0"/>
        <v>7.7563889000000002E-3</v>
      </c>
      <c r="M27" s="240">
        <v>0.9</v>
      </c>
      <c r="N27" s="240">
        <v>1</v>
      </c>
      <c r="O27" s="240">
        <f t="shared" si="14"/>
        <v>0.9</v>
      </c>
      <c r="P27" s="225">
        <f t="shared" si="15"/>
        <v>0</v>
      </c>
      <c r="Q27" s="260">
        <f t="shared" si="19"/>
        <v>7.7563889000000002E-3</v>
      </c>
      <c r="R27" s="242">
        <v>0.5</v>
      </c>
      <c r="S27" s="228" t="e">
        <f>IF(DGcalcul!$I$19="yes",VLOOKUP(DGcalcul!$G$3,DGliste!$F$13:$G$19,2,0),HLOOKUP($A$23,'DGbase données'!$B$78:$E$81,3,0))</f>
        <v>#N/A</v>
      </c>
      <c r="T27" s="241">
        <v>1.4344729999999999E-3</v>
      </c>
      <c r="U27" s="241">
        <f t="shared" si="1"/>
        <v>7.7563889000000002E-3</v>
      </c>
      <c r="V27" s="240">
        <v>0.9</v>
      </c>
      <c r="W27" s="240">
        <v>1</v>
      </c>
      <c r="X27" s="240">
        <f t="shared" si="16"/>
        <v>0.9</v>
      </c>
      <c r="Y27" s="243" t="e">
        <f t="shared" si="17"/>
        <v>#N/A</v>
      </c>
      <c r="Z27" s="244">
        <v>0</v>
      </c>
      <c r="AA27" s="228" t="e">
        <f>IF(DGcalcul!$I$19="yes",VLOOKUP(DGcalcul!$G$3,DGliste!$F$13:$G$19,2,0),HLOOKUP($A$23,'DGbase données'!$B$78:$E$81,2,0))</f>
        <v>#N/A</v>
      </c>
      <c r="AB27" s="224">
        <f>DGbaseF2V!D8</f>
        <v>4.8975648000000004E-3</v>
      </c>
      <c r="AC27" s="231">
        <f>HLOOKUP(C27,DGbasecoll!$B$3:$K$4,2,0)</f>
        <v>19.52</v>
      </c>
      <c r="AD27" s="245">
        <v>0.187</v>
      </c>
      <c r="AE27" s="232">
        <f>DGbasevalo!C6</f>
        <v>7.9413265000000005E-5</v>
      </c>
      <c r="AF27" s="245">
        <v>0.08</v>
      </c>
      <c r="AG27" s="231">
        <f>DGbasevalo!D6</f>
        <v>5.8075829000000003E-5</v>
      </c>
      <c r="AH27" s="246" t="e">
        <f t="shared" si="18"/>
        <v>#N/A</v>
      </c>
      <c r="AI27" s="234">
        <f>DGcalcul!$K$25</f>
        <v>0</v>
      </c>
      <c r="AJ27" s="234">
        <f>DGcalcul!$K$24</f>
        <v>0</v>
      </c>
      <c r="AK27" s="235">
        <f>DGbaseF2V!E8</f>
        <v>-1.9214072000000001E-4</v>
      </c>
      <c r="AL27" s="247">
        <f t="shared" si="8"/>
        <v>-1.9214072000000001E-4</v>
      </c>
    </row>
    <row r="28" spans="1:38" s="241" customFormat="1" outlineLevel="1" x14ac:dyDescent="0.3">
      <c r="A28" s="259" t="s">
        <v>403</v>
      </c>
      <c r="B28" s="217" t="str">
        <f>DGcalcul!$E$19</f>
        <v>Mixed or Unknown collection</v>
      </c>
      <c r="C28" s="217" t="str">
        <f t="shared" si="13"/>
        <v>PP Mixed or Unknown collection</v>
      </c>
      <c r="D28" s="237" t="s">
        <v>329</v>
      </c>
      <c r="E28" s="238" t="s">
        <v>343</v>
      </c>
      <c r="F28" s="220">
        <f>DGcalcul!$E$8</f>
        <v>0</v>
      </c>
      <c r="G28" s="218">
        <f>'DGbase données'!D6</f>
        <v>9.4228869000000004E-8</v>
      </c>
      <c r="H28" s="239">
        <f t="shared" si="12"/>
        <v>9.4228869000000004E-8</v>
      </c>
      <c r="I28" s="220">
        <f>DGcalcul!$E$8</f>
        <v>0</v>
      </c>
      <c r="J28" s="240">
        <v>0.5</v>
      </c>
      <c r="K28" s="224">
        <f>DGbaseF2V!F9</f>
        <v>4.5091019000000003E-9</v>
      </c>
      <c r="L28" s="241">
        <f t="shared" si="0"/>
        <v>9.4228869000000004E-8</v>
      </c>
      <c r="M28" s="240">
        <v>0.9</v>
      </c>
      <c r="N28" s="240">
        <v>1</v>
      </c>
      <c r="O28" s="240">
        <f t="shared" si="14"/>
        <v>0.9</v>
      </c>
      <c r="P28" s="225">
        <f t="shared" si="15"/>
        <v>0</v>
      </c>
      <c r="Q28" s="260">
        <f t="shared" si="19"/>
        <v>9.4228869000000004E-8</v>
      </c>
      <c r="R28" s="242">
        <v>0.5</v>
      </c>
      <c r="S28" s="228" t="e">
        <f>IF(DGcalcul!$I$19="yes",VLOOKUP(DGcalcul!$G$3,DGliste!$F$13:$G$19,2,0),HLOOKUP($A$23,'DGbase données'!$B$78:$E$81,3,0))</f>
        <v>#N/A</v>
      </c>
      <c r="T28" s="241">
        <v>3.0084298000000002E-8</v>
      </c>
      <c r="U28" s="241">
        <f t="shared" si="1"/>
        <v>9.4228869000000004E-8</v>
      </c>
      <c r="V28" s="240">
        <v>0.9</v>
      </c>
      <c r="W28" s="240">
        <v>1</v>
      </c>
      <c r="X28" s="240">
        <f t="shared" si="16"/>
        <v>0.9</v>
      </c>
      <c r="Y28" s="243" t="e">
        <f t="shared" si="17"/>
        <v>#N/A</v>
      </c>
      <c r="Z28" s="244">
        <v>0</v>
      </c>
      <c r="AA28" s="228" t="e">
        <f>IF(DGcalcul!$I$19="yes",VLOOKUP(DGcalcul!$G$3,DGliste!$F$13:$G$19,2,0),HLOOKUP($A$23,'DGbase données'!$B$78:$E$81,2,0))</f>
        <v>#N/A</v>
      </c>
      <c r="AB28" s="224">
        <f>DGbaseF2V!D9</f>
        <v>1.4669214000000001E-7</v>
      </c>
      <c r="AC28" s="231">
        <f>HLOOKUP(C28,DGbasecoll!$B$3:$K$4,2,0)</f>
        <v>19.52</v>
      </c>
      <c r="AD28" s="245">
        <v>0.187</v>
      </c>
      <c r="AE28" s="232">
        <f>DGbasevalo!C7</f>
        <v>3.815356E-10</v>
      </c>
      <c r="AF28" s="245">
        <v>0.08</v>
      </c>
      <c r="AG28" s="231">
        <f>DGbasevalo!D7</f>
        <v>1.2179878E-9</v>
      </c>
      <c r="AH28" s="246" t="e">
        <f t="shared" si="18"/>
        <v>#N/A</v>
      </c>
      <c r="AI28" s="234">
        <f>DGcalcul!$K$25</f>
        <v>0</v>
      </c>
      <c r="AJ28" s="234">
        <f>DGcalcul!$K$24</f>
        <v>0</v>
      </c>
      <c r="AK28" s="235">
        <f>DGbaseF2V!E9</f>
        <v>-2.2139156000000001E-8</v>
      </c>
      <c r="AL28" s="247">
        <f t="shared" si="8"/>
        <v>-2.2139156000000001E-8</v>
      </c>
    </row>
    <row r="29" spans="1:38" s="241" customFormat="1" outlineLevel="1" x14ac:dyDescent="0.3">
      <c r="A29" s="259" t="s">
        <v>403</v>
      </c>
      <c r="B29" s="217" t="str">
        <f>DGcalcul!$E$19</f>
        <v>Mixed or Unknown collection</v>
      </c>
      <c r="C29" s="217" t="str">
        <f t="shared" si="13"/>
        <v>PP Mixed or Unknown collection</v>
      </c>
      <c r="D29" s="237" t="s">
        <v>420</v>
      </c>
      <c r="E29" s="238" t="s">
        <v>421</v>
      </c>
      <c r="F29" s="220">
        <f>DGcalcul!$E$8</f>
        <v>0</v>
      </c>
      <c r="G29" s="218">
        <f>'DGbase données'!D7</f>
        <v>1.6799726E-8</v>
      </c>
      <c r="H29" s="239">
        <f t="shared" si="12"/>
        <v>1.6799726E-8</v>
      </c>
      <c r="I29" s="220">
        <f>DGcalcul!$E$8</f>
        <v>0</v>
      </c>
      <c r="J29" s="240">
        <v>0.5</v>
      </c>
      <c r="K29" s="224">
        <f>DGbaseF2V!F10</f>
        <v>1.2679718999999999E-9</v>
      </c>
      <c r="L29" s="241">
        <f t="shared" si="0"/>
        <v>1.6799726E-8</v>
      </c>
      <c r="M29" s="240">
        <v>0.9</v>
      </c>
      <c r="N29" s="240">
        <v>1</v>
      </c>
      <c r="O29" s="240">
        <f t="shared" si="14"/>
        <v>0.9</v>
      </c>
      <c r="P29" s="225">
        <f t="shared" si="15"/>
        <v>0</v>
      </c>
      <c r="Q29" s="260">
        <f t="shared" si="19"/>
        <v>1.6799726E-8</v>
      </c>
      <c r="R29" s="242">
        <v>0.5</v>
      </c>
      <c r="S29" s="228" t="e">
        <f>IF(DGcalcul!$I$19="yes",VLOOKUP(DGcalcul!$G$3,DGliste!$F$13:$G$19,2,0),HLOOKUP($A$23,'DGbase données'!$B$78:$E$81,3,0))</f>
        <v>#N/A</v>
      </c>
      <c r="T29" s="241">
        <v>6.4775805999999997E-9</v>
      </c>
      <c r="U29" s="241">
        <f t="shared" si="1"/>
        <v>1.6799726E-8</v>
      </c>
      <c r="V29" s="240">
        <v>0.9</v>
      </c>
      <c r="W29" s="240">
        <v>1</v>
      </c>
      <c r="X29" s="240">
        <f t="shared" si="16"/>
        <v>0.9</v>
      </c>
      <c r="Y29" s="243" t="e">
        <f t="shared" si="17"/>
        <v>#N/A</v>
      </c>
      <c r="Z29" s="244">
        <v>0</v>
      </c>
      <c r="AA29" s="228" t="e">
        <f>IF(DGcalcul!$I$19="yes",VLOOKUP(DGcalcul!$G$3,DGliste!$F$13:$G$19,2,0),HLOOKUP($A$23,'DGbase données'!$B$78:$E$81,2,0))</f>
        <v>#N/A</v>
      </c>
      <c r="AB29" s="224">
        <f>DGbaseF2V!D10</f>
        <v>7.6409497999999993E-9</v>
      </c>
      <c r="AC29" s="231">
        <f>HLOOKUP(C29,DGbasecoll!$B$3:$K$4,2,0)</f>
        <v>19.52</v>
      </c>
      <c r="AD29" s="245">
        <v>0.187</v>
      </c>
      <c r="AE29" s="232">
        <f>DGbasevalo!C8</f>
        <v>1.9881795000000001E-10</v>
      </c>
      <c r="AF29" s="245">
        <v>0.08</v>
      </c>
      <c r="AG29" s="231">
        <f>DGbasevalo!D8</f>
        <v>2.6225022999999999E-10</v>
      </c>
      <c r="AH29" s="246" t="e">
        <f t="shared" si="18"/>
        <v>#N/A</v>
      </c>
      <c r="AI29" s="234">
        <f>DGcalcul!$K$25</f>
        <v>0</v>
      </c>
      <c r="AJ29" s="234">
        <f>DGcalcul!$K$24</f>
        <v>0</v>
      </c>
      <c r="AK29" s="235">
        <f>DGbaseF2V!E10</f>
        <v>-2.0773666000000001E-10</v>
      </c>
      <c r="AL29" s="247">
        <f t="shared" si="8"/>
        <v>-2.0773666000000001E-10</v>
      </c>
    </row>
    <row r="30" spans="1:38" s="241" customFormat="1" outlineLevel="1" x14ac:dyDescent="0.3">
      <c r="A30" s="259" t="s">
        <v>403</v>
      </c>
      <c r="B30" s="217" t="str">
        <f>DGcalcul!$E$19</f>
        <v>Mixed or Unknown collection</v>
      </c>
      <c r="C30" s="217" t="str">
        <f t="shared" si="13"/>
        <v>PP Mixed or Unknown collection</v>
      </c>
      <c r="D30" s="237" t="s">
        <v>422</v>
      </c>
      <c r="E30" s="238" t="s">
        <v>421</v>
      </c>
      <c r="F30" s="220">
        <f>DGcalcul!$E$8</f>
        <v>0</v>
      </c>
      <c r="G30" s="218">
        <f>'DGbase données'!D8</f>
        <v>6.4585068000000003E-10</v>
      </c>
      <c r="H30" s="239">
        <f t="shared" si="12"/>
        <v>6.4585068000000003E-10</v>
      </c>
      <c r="I30" s="220">
        <f>DGcalcul!$E$8</f>
        <v>0</v>
      </c>
      <c r="J30" s="240">
        <v>0.5</v>
      </c>
      <c r="K30" s="224">
        <f>DGbaseF2V!F11</f>
        <v>4.1709014000000001E-10</v>
      </c>
      <c r="L30" s="241">
        <f t="shared" si="0"/>
        <v>6.4585068000000003E-10</v>
      </c>
      <c r="M30" s="240">
        <v>0.9</v>
      </c>
      <c r="N30" s="240">
        <v>1</v>
      </c>
      <c r="O30" s="240">
        <f t="shared" si="14"/>
        <v>0.9</v>
      </c>
      <c r="P30" s="225">
        <f t="shared" si="15"/>
        <v>0</v>
      </c>
      <c r="Q30" s="260">
        <f t="shared" si="19"/>
        <v>6.4585068000000003E-10</v>
      </c>
      <c r="R30" s="242">
        <v>0.5</v>
      </c>
      <c r="S30" s="228" t="e">
        <f>IF(DGcalcul!$I$19="yes",VLOOKUP(DGcalcul!$G$3,DGliste!$F$13:$G$19,2,0),HLOOKUP($A$23,'DGbase données'!$B$78:$E$81,3,0))</f>
        <v>#N/A</v>
      </c>
      <c r="T30" s="241">
        <v>3.3330199E-10</v>
      </c>
      <c r="U30" s="241">
        <f t="shared" si="1"/>
        <v>6.4585068000000003E-10</v>
      </c>
      <c r="V30" s="240">
        <v>0.9</v>
      </c>
      <c r="W30" s="240">
        <v>1</v>
      </c>
      <c r="X30" s="240">
        <f t="shared" si="16"/>
        <v>0.9</v>
      </c>
      <c r="Y30" s="243" t="e">
        <f t="shared" si="17"/>
        <v>#N/A</v>
      </c>
      <c r="Z30" s="244">
        <v>0</v>
      </c>
      <c r="AA30" s="228" t="e">
        <f>IF(DGcalcul!$I$19="yes",VLOOKUP(DGcalcul!$G$3,DGliste!$F$13:$G$19,2,0),HLOOKUP($A$23,'DGbase données'!$B$78:$E$81,2,0))</f>
        <v>#N/A</v>
      </c>
      <c r="AB30" s="224">
        <f>DGbaseF2V!D11</f>
        <v>1.7898562999999999E-10</v>
      </c>
      <c r="AC30" s="231">
        <f>HLOOKUP(C30,DGbasecoll!$B$3:$K$4,2,0)</f>
        <v>19.52</v>
      </c>
      <c r="AD30" s="245">
        <v>0.187</v>
      </c>
      <c r="AE30" s="232">
        <f>DGbasevalo!C9</f>
        <v>1.5634214999999999E-11</v>
      </c>
      <c r="AF30" s="245">
        <v>0.08</v>
      </c>
      <c r="AG30" s="231">
        <f>DGbasevalo!D9</f>
        <v>1.3494008E-11</v>
      </c>
      <c r="AH30" s="246" t="e">
        <f t="shared" si="18"/>
        <v>#N/A</v>
      </c>
      <c r="AI30" s="234">
        <f>DGcalcul!$K$25</f>
        <v>0</v>
      </c>
      <c r="AJ30" s="234">
        <f>DGcalcul!$K$24</f>
        <v>0</v>
      </c>
      <c r="AK30" s="235">
        <f>DGbaseF2V!E11</f>
        <v>-1.9487869E-11</v>
      </c>
      <c r="AL30" s="247">
        <f t="shared" si="8"/>
        <v>-1.9487869E-11</v>
      </c>
    </row>
    <row r="31" spans="1:38" s="241" customFormat="1" outlineLevel="1" x14ac:dyDescent="0.3">
      <c r="A31" s="259" t="s">
        <v>403</v>
      </c>
      <c r="B31" s="217" t="str">
        <f>DGcalcul!$E$19</f>
        <v>Mixed or Unknown collection</v>
      </c>
      <c r="C31" s="217" t="str">
        <f t="shared" si="13"/>
        <v>PP Mixed or Unknown collection</v>
      </c>
      <c r="D31" s="237" t="s">
        <v>330</v>
      </c>
      <c r="E31" s="238" t="s">
        <v>344</v>
      </c>
      <c r="F31" s="220">
        <f>DGcalcul!$E$8</f>
        <v>0</v>
      </c>
      <c r="G31" s="218">
        <f>'DGbase données'!D9</f>
        <v>9.5160699000000001E-3</v>
      </c>
      <c r="H31" s="239">
        <f t="shared" si="12"/>
        <v>9.5160699000000001E-3</v>
      </c>
      <c r="I31" s="220">
        <f>DGcalcul!$E$8</f>
        <v>0</v>
      </c>
      <c r="J31" s="240">
        <v>0.5</v>
      </c>
      <c r="K31" s="224">
        <f>DGbaseF2V!F12</f>
        <v>7.9088325999999997E-4</v>
      </c>
      <c r="L31" s="241">
        <f t="shared" si="0"/>
        <v>9.5160699000000001E-3</v>
      </c>
      <c r="M31" s="240">
        <v>0.9</v>
      </c>
      <c r="N31" s="240">
        <v>1</v>
      </c>
      <c r="O31" s="240">
        <f t="shared" si="14"/>
        <v>0.9</v>
      </c>
      <c r="P31" s="225">
        <f t="shared" si="15"/>
        <v>0</v>
      </c>
      <c r="Q31" s="260">
        <f t="shared" si="19"/>
        <v>9.5160699000000001E-3</v>
      </c>
      <c r="R31" s="242">
        <v>0.5</v>
      </c>
      <c r="S31" s="228" t="e">
        <f>IF(DGcalcul!$I$19="yes",VLOOKUP(DGcalcul!$G$3,DGliste!$F$13:$G$19,2,0),HLOOKUP($A$23,'DGbase données'!$B$78:$E$81,3,0))</f>
        <v>#N/A</v>
      </c>
      <c r="T31" s="241">
        <v>2.6731913999999998E-3</v>
      </c>
      <c r="U31" s="241">
        <f t="shared" si="1"/>
        <v>9.5160699000000001E-3</v>
      </c>
      <c r="V31" s="240">
        <v>0.9</v>
      </c>
      <c r="W31" s="240">
        <v>1</v>
      </c>
      <c r="X31" s="240">
        <f t="shared" si="16"/>
        <v>0.9</v>
      </c>
      <c r="Y31" s="243" t="e">
        <f t="shared" si="17"/>
        <v>#N/A</v>
      </c>
      <c r="Z31" s="244">
        <v>0</v>
      </c>
      <c r="AA31" s="228" t="e">
        <f>IF(DGcalcul!$I$19="yes",VLOOKUP(DGcalcul!$G$3,DGliste!$F$13:$G$19,2,0),HLOOKUP($A$23,'DGbase données'!$B$78:$E$81,2,0))</f>
        <v>#N/A</v>
      </c>
      <c r="AB31" s="224">
        <f>DGbaseF2V!D12</f>
        <v>1.5203964E-2</v>
      </c>
      <c r="AC31" s="231">
        <f>HLOOKUP(C31,DGbasecoll!$B$3:$K$4,2,0)</f>
        <v>19.52</v>
      </c>
      <c r="AD31" s="245">
        <v>0.187</v>
      </c>
      <c r="AE31" s="232">
        <f>DGbasevalo!C10</f>
        <v>8.942492E-5</v>
      </c>
      <c r="AF31" s="245">
        <v>0.08</v>
      </c>
      <c r="AG31" s="231">
        <f>DGbasevalo!D10</f>
        <v>1.0822637E-4</v>
      </c>
      <c r="AH31" s="246" t="e">
        <f t="shared" si="18"/>
        <v>#N/A</v>
      </c>
      <c r="AI31" s="234">
        <f>DGcalcul!$K$25</f>
        <v>0</v>
      </c>
      <c r="AJ31" s="234">
        <f>DGcalcul!$K$24</f>
        <v>0</v>
      </c>
      <c r="AK31" s="235">
        <f>DGbaseF2V!E12</f>
        <v>-2.8440295E-4</v>
      </c>
      <c r="AL31" s="247">
        <f t="shared" si="8"/>
        <v>-2.8440295E-4</v>
      </c>
    </row>
    <row r="32" spans="1:38" s="241" customFormat="1" outlineLevel="1" x14ac:dyDescent="0.3">
      <c r="A32" s="259" t="s">
        <v>403</v>
      </c>
      <c r="B32" s="217" t="str">
        <f>DGcalcul!$E$19</f>
        <v>Mixed or Unknown collection</v>
      </c>
      <c r="C32" s="217" t="str">
        <f t="shared" si="13"/>
        <v>PP Mixed or Unknown collection</v>
      </c>
      <c r="D32" s="237" t="s">
        <v>331</v>
      </c>
      <c r="E32" s="238" t="s">
        <v>345</v>
      </c>
      <c r="F32" s="220">
        <f>DGcalcul!$E$8</f>
        <v>0</v>
      </c>
      <c r="G32" s="218">
        <f>'DGbase données'!D10</f>
        <v>3.9247221999999998E-4</v>
      </c>
      <c r="H32" s="239">
        <f t="shared" si="12"/>
        <v>3.9247221999999998E-4</v>
      </c>
      <c r="I32" s="220">
        <f>DGcalcul!$E$8</f>
        <v>0</v>
      </c>
      <c r="J32" s="240">
        <v>0.5</v>
      </c>
      <c r="K32" s="224">
        <f>DGbaseF2V!F13</f>
        <v>1.3275061999999999E-4</v>
      </c>
      <c r="L32" s="241">
        <f t="shared" si="0"/>
        <v>3.9247221999999998E-4</v>
      </c>
      <c r="M32" s="240">
        <v>0.9</v>
      </c>
      <c r="N32" s="240">
        <v>1</v>
      </c>
      <c r="O32" s="240">
        <f t="shared" si="14"/>
        <v>0.9</v>
      </c>
      <c r="P32" s="225">
        <f t="shared" si="15"/>
        <v>0</v>
      </c>
      <c r="Q32" s="260">
        <f t="shared" si="19"/>
        <v>3.9247221999999998E-4</v>
      </c>
      <c r="R32" s="242">
        <v>0.5</v>
      </c>
      <c r="S32" s="228" t="e">
        <f>IF(DGcalcul!$I$19="yes",VLOOKUP(DGcalcul!$G$3,DGliste!$F$13:$G$19,2,0),HLOOKUP($A$23,'DGbase données'!$B$78:$E$81,3,0))</f>
        <v>#N/A</v>
      </c>
      <c r="T32" s="241">
        <v>1.3424142999999999E-4</v>
      </c>
      <c r="U32" s="241">
        <f t="shared" si="1"/>
        <v>3.9247221999999998E-4</v>
      </c>
      <c r="V32" s="240">
        <v>0.9</v>
      </c>
      <c r="W32" s="240">
        <v>1</v>
      </c>
      <c r="X32" s="240">
        <f t="shared" si="16"/>
        <v>0.9</v>
      </c>
      <c r="Y32" s="243" t="e">
        <f t="shared" si="17"/>
        <v>#N/A</v>
      </c>
      <c r="Z32" s="244">
        <v>0</v>
      </c>
      <c r="AA32" s="228" t="e">
        <f>IF(DGcalcul!$I$19="yes",VLOOKUP(DGcalcul!$G$3,DGliste!$F$13:$G$19,2,0),HLOOKUP($A$23,'DGbase données'!$B$78:$E$81,2,0))</f>
        <v>#N/A</v>
      </c>
      <c r="AB32" s="224">
        <f>DGbaseF2V!D13</f>
        <v>3.7257835000000002E-7</v>
      </c>
      <c r="AC32" s="231">
        <f>HLOOKUP(C32,DGbasecoll!$B$3:$K$4,2,0)</f>
        <v>19.52</v>
      </c>
      <c r="AD32" s="245">
        <v>0.187</v>
      </c>
      <c r="AE32" s="232">
        <f>DGbasevalo!C11</f>
        <v>2.5191956000000001E-6</v>
      </c>
      <c r="AF32" s="245">
        <v>0.08</v>
      </c>
      <c r="AG32" s="231">
        <f>DGbasevalo!D11</f>
        <v>5.4348756999999998E-6</v>
      </c>
      <c r="AH32" s="246" t="e">
        <f t="shared" si="18"/>
        <v>#N/A</v>
      </c>
      <c r="AI32" s="234">
        <f>DGcalcul!$K$25</f>
        <v>0</v>
      </c>
      <c r="AJ32" s="234">
        <f>DGcalcul!$K$24</f>
        <v>0</v>
      </c>
      <c r="AK32" s="235">
        <f>DGbaseF2V!E13</f>
        <v>-3.3771856999999997E-5</v>
      </c>
      <c r="AL32" s="247">
        <f t="shared" si="8"/>
        <v>-3.3771856999999997E-5</v>
      </c>
    </row>
    <row r="33" spans="1:38" s="241" customFormat="1" outlineLevel="1" x14ac:dyDescent="0.3">
      <c r="A33" s="259" t="s">
        <v>403</v>
      </c>
      <c r="B33" s="217" t="str">
        <f>DGcalcul!$E$19</f>
        <v>Mixed or Unknown collection</v>
      </c>
      <c r="C33" s="217" t="str">
        <f t="shared" si="13"/>
        <v>PP Mixed or Unknown collection</v>
      </c>
      <c r="D33" s="237" t="s">
        <v>423</v>
      </c>
      <c r="E33" s="238" t="s">
        <v>424</v>
      </c>
      <c r="F33" s="220">
        <f>DGcalcul!$E$8</f>
        <v>0</v>
      </c>
      <c r="G33" s="218">
        <f>'DGbase données'!D11</f>
        <v>1.7904435E-3</v>
      </c>
      <c r="H33" s="239">
        <f t="shared" si="12"/>
        <v>1.7904435E-3</v>
      </c>
      <c r="I33" s="220">
        <f>DGcalcul!$E$8</f>
        <v>0</v>
      </c>
      <c r="J33" s="240">
        <v>0.5</v>
      </c>
      <c r="K33" s="224">
        <f>DGbaseF2V!F14</f>
        <v>1.3826503000000001E-4</v>
      </c>
      <c r="L33" s="241">
        <f t="shared" si="0"/>
        <v>1.7904435E-3</v>
      </c>
      <c r="M33" s="240">
        <v>0.9</v>
      </c>
      <c r="N33" s="240">
        <v>1</v>
      </c>
      <c r="O33" s="240">
        <f t="shared" si="14"/>
        <v>0.9</v>
      </c>
      <c r="P33" s="225">
        <f t="shared" si="15"/>
        <v>0</v>
      </c>
      <c r="Q33" s="260">
        <f t="shared" si="19"/>
        <v>1.7904435E-3</v>
      </c>
      <c r="R33" s="242">
        <v>0.5</v>
      </c>
      <c r="S33" s="228" t="e">
        <f>IF(DGcalcul!$I$19="yes",VLOOKUP(DGcalcul!$G$3,DGliste!$F$13:$G$19,2,0),HLOOKUP($A$23,'DGbase données'!$B$78:$E$81,3,0))</f>
        <v>#N/A</v>
      </c>
      <c r="T33" s="241">
        <v>7.0510514999999998E-4</v>
      </c>
      <c r="U33" s="241">
        <f t="shared" si="1"/>
        <v>1.7904435E-3</v>
      </c>
      <c r="V33" s="240">
        <v>0.9</v>
      </c>
      <c r="W33" s="240">
        <v>1</v>
      </c>
      <c r="X33" s="240">
        <f t="shared" si="16"/>
        <v>0.9</v>
      </c>
      <c r="Y33" s="243" t="e">
        <f t="shared" si="17"/>
        <v>#N/A</v>
      </c>
      <c r="Z33" s="244">
        <v>0</v>
      </c>
      <c r="AA33" s="228" t="e">
        <f>IF(DGcalcul!$I$19="yes",VLOOKUP(DGcalcul!$G$3,DGliste!$F$13:$G$19,2,0),HLOOKUP($A$23,'DGbase données'!$B$78:$E$81,2,0))</f>
        <v>#N/A</v>
      </c>
      <c r="AB33" s="224">
        <f>DGbaseF2V!D14</f>
        <v>1.5383413E-3</v>
      </c>
      <c r="AC33" s="231">
        <f>HLOOKUP(C33,DGbasecoll!$B$3:$K$4,2,0)</f>
        <v>19.52</v>
      </c>
      <c r="AD33" s="245">
        <v>0.187</v>
      </c>
      <c r="AE33" s="232">
        <f>DGbasevalo!C12</f>
        <v>1.6508956E-5</v>
      </c>
      <c r="AF33" s="245">
        <v>0.08</v>
      </c>
      <c r="AG33" s="231">
        <f>DGbasevalo!D12</f>
        <v>2.8546766999999999E-5</v>
      </c>
      <c r="AH33" s="246" t="e">
        <f t="shared" si="18"/>
        <v>#N/A</v>
      </c>
      <c r="AI33" s="234">
        <f>DGcalcul!$K$25</f>
        <v>0</v>
      </c>
      <c r="AJ33" s="234">
        <f>DGcalcul!$K$24</f>
        <v>0</v>
      </c>
      <c r="AK33" s="235">
        <f>DGbaseF2V!E14</f>
        <v>-5.9943874000000003E-5</v>
      </c>
      <c r="AL33" s="247">
        <f t="shared" si="8"/>
        <v>-5.9943874000000003E-5</v>
      </c>
    </row>
    <row r="34" spans="1:38" s="241" customFormat="1" outlineLevel="1" x14ac:dyDescent="0.3">
      <c r="A34" s="259" t="s">
        <v>403</v>
      </c>
      <c r="B34" s="217" t="str">
        <f>DGcalcul!$E$19</f>
        <v>Mixed or Unknown collection</v>
      </c>
      <c r="C34" s="217" t="str">
        <f t="shared" si="13"/>
        <v>PP Mixed or Unknown collection</v>
      </c>
      <c r="D34" s="237" t="s">
        <v>425</v>
      </c>
      <c r="E34" s="238" t="s">
        <v>426</v>
      </c>
      <c r="F34" s="220">
        <f>DGcalcul!$E$8</f>
        <v>0</v>
      </c>
      <c r="G34" s="218">
        <f>'DGbase données'!D12</f>
        <v>1.8997950999999999E-2</v>
      </c>
      <c r="H34" s="239">
        <f t="shared" si="12"/>
        <v>1.8997950999999999E-2</v>
      </c>
      <c r="I34" s="220">
        <f>DGcalcul!$E$8</f>
        <v>0</v>
      </c>
      <c r="J34" s="240">
        <v>0.5</v>
      </c>
      <c r="K34" s="224">
        <f>DGbaseF2V!F15</f>
        <v>1.2178496E-3</v>
      </c>
      <c r="L34" s="241">
        <f t="shared" si="0"/>
        <v>1.8997950999999999E-2</v>
      </c>
      <c r="M34" s="240">
        <v>0.9</v>
      </c>
      <c r="N34" s="240">
        <v>1</v>
      </c>
      <c r="O34" s="240">
        <f t="shared" si="14"/>
        <v>0.9</v>
      </c>
      <c r="P34" s="225">
        <f t="shared" si="15"/>
        <v>0</v>
      </c>
      <c r="Q34" s="260">
        <f t="shared" si="19"/>
        <v>1.8997950999999999E-2</v>
      </c>
      <c r="R34" s="242">
        <v>0.5</v>
      </c>
      <c r="S34" s="228" t="e">
        <f>IF(DGcalcul!$I$19="yes",VLOOKUP(DGcalcul!$G$3,DGliste!$F$13:$G$19,2,0),HLOOKUP($A$23,'DGbase données'!$B$78:$E$81,3,0))</f>
        <v>#N/A</v>
      </c>
      <c r="T34" s="241">
        <v>5.2457038999999999E-3</v>
      </c>
      <c r="U34" s="241">
        <f t="shared" si="1"/>
        <v>1.8997950999999999E-2</v>
      </c>
      <c r="V34" s="240">
        <v>0.9</v>
      </c>
      <c r="W34" s="240">
        <v>1</v>
      </c>
      <c r="X34" s="240">
        <f t="shared" si="16"/>
        <v>0.9</v>
      </c>
      <c r="Y34" s="243" t="e">
        <f t="shared" si="17"/>
        <v>#N/A</v>
      </c>
      <c r="Z34" s="244">
        <v>0</v>
      </c>
      <c r="AA34" s="228" t="e">
        <f>IF(DGcalcul!$I$19="yes",VLOOKUP(DGcalcul!$G$3,DGliste!$F$13:$G$19,2,0),HLOOKUP($A$23,'DGbase données'!$B$78:$E$81,2,0))</f>
        <v>#N/A</v>
      </c>
      <c r="AB34" s="224">
        <f>DGbaseF2V!D15</f>
        <v>1.5909374E-2</v>
      </c>
      <c r="AC34" s="231">
        <f>HLOOKUP(C34,DGbasecoll!$B$3:$K$4,2,0)</f>
        <v>19.52</v>
      </c>
      <c r="AD34" s="245">
        <v>0.187</v>
      </c>
      <c r="AE34" s="232">
        <f>DGbasevalo!C13</f>
        <v>1.7353508999999999E-4</v>
      </c>
      <c r="AF34" s="245">
        <v>0.08</v>
      </c>
      <c r="AG34" s="231">
        <f>DGbasevalo!D13</f>
        <v>2.1237668000000001E-4</v>
      </c>
      <c r="AH34" s="246" t="e">
        <f t="shared" si="18"/>
        <v>#N/A</v>
      </c>
      <c r="AI34" s="234">
        <f>DGcalcul!$K$25</f>
        <v>0</v>
      </c>
      <c r="AJ34" s="234">
        <f>DGcalcul!$K$24</f>
        <v>0</v>
      </c>
      <c r="AK34" s="235">
        <f>DGbaseF2V!E15</f>
        <v>-6.5510446999999996E-4</v>
      </c>
      <c r="AL34" s="247">
        <f t="shared" si="8"/>
        <v>-6.5510446999999996E-4</v>
      </c>
    </row>
    <row r="35" spans="1:38" s="241" customFormat="1" outlineLevel="1" x14ac:dyDescent="0.3">
      <c r="A35" s="259" t="s">
        <v>403</v>
      </c>
      <c r="B35" s="217" t="str">
        <f>DGcalcul!$E$19</f>
        <v>Mixed or Unknown collection</v>
      </c>
      <c r="C35" s="217" t="str">
        <f t="shared" si="13"/>
        <v>PP Mixed or Unknown collection</v>
      </c>
      <c r="D35" s="237" t="s">
        <v>427</v>
      </c>
      <c r="E35" s="238" t="s">
        <v>428</v>
      </c>
      <c r="F35" s="220">
        <f>DGcalcul!$E$8</f>
        <v>0</v>
      </c>
      <c r="G35" s="218">
        <f>'DGbase données'!D13</f>
        <v>24.090447999999999</v>
      </c>
      <c r="H35" s="239">
        <f t="shared" si="12"/>
        <v>24.090447999999999</v>
      </c>
      <c r="I35" s="220">
        <f>DGcalcul!$E$8</f>
        <v>0</v>
      </c>
      <c r="J35" s="240">
        <v>0.5</v>
      </c>
      <c r="K35" s="224">
        <f>DGbaseF2V!F16</f>
        <v>1.3561146299999999E-3</v>
      </c>
      <c r="L35" s="241">
        <f t="shared" si="0"/>
        <v>24.090447999999999</v>
      </c>
      <c r="M35" s="240">
        <v>0.9</v>
      </c>
      <c r="N35" s="240">
        <v>1</v>
      </c>
      <c r="O35" s="240">
        <f t="shared" si="14"/>
        <v>0.9</v>
      </c>
      <c r="P35" s="225">
        <f t="shared" si="15"/>
        <v>0</v>
      </c>
      <c r="Q35" s="260">
        <f t="shared" si="19"/>
        <v>24.090447999999999</v>
      </c>
      <c r="R35" s="242">
        <v>0.5</v>
      </c>
      <c r="S35" s="228" t="e">
        <f>IF(DGcalcul!$I$19="yes",VLOOKUP(DGcalcul!$G$3,DGliste!$F$13:$G$19,2,0),HLOOKUP($A$23,'DGbase données'!$B$78:$E$81,3,0))</f>
        <v>#N/A</v>
      </c>
      <c r="T35" s="241">
        <v>17.252151999999999</v>
      </c>
      <c r="U35" s="241">
        <f t="shared" si="1"/>
        <v>24.090447999999999</v>
      </c>
      <c r="V35" s="240">
        <v>0.9</v>
      </c>
      <c r="W35" s="240">
        <v>1</v>
      </c>
      <c r="X35" s="240">
        <f t="shared" si="16"/>
        <v>0.9</v>
      </c>
      <c r="Y35" s="243" t="e">
        <f t="shared" si="17"/>
        <v>#N/A</v>
      </c>
      <c r="Z35" s="244">
        <v>0</v>
      </c>
      <c r="AA35" s="228" t="e">
        <f>IF(DGcalcul!$I$19="yes",VLOOKUP(DGcalcul!$G$3,DGliste!$F$13:$G$19,2,0),HLOOKUP($A$23,'DGbase données'!$B$78:$E$81,2,0))</f>
        <v>#N/A</v>
      </c>
      <c r="AB35" s="224">
        <f>DGbaseF2V!D16</f>
        <v>4.7172385999999999</v>
      </c>
      <c r="AC35" s="231">
        <f>HLOOKUP(C35,DGbasecoll!$B$3:$K$4,2,0)</f>
        <v>19.52</v>
      </c>
      <c r="AD35" s="245">
        <v>0.187</v>
      </c>
      <c r="AE35" s="232">
        <f>DGbasevalo!C14</f>
        <v>0.42162807000000002</v>
      </c>
      <c r="AF35" s="245">
        <v>0.08</v>
      </c>
      <c r="AG35" s="231">
        <f>DGbasevalo!D14</f>
        <v>0.69846766999999998</v>
      </c>
      <c r="AH35" s="246" t="e">
        <f t="shared" si="18"/>
        <v>#N/A</v>
      </c>
      <c r="AI35" s="234">
        <f>DGcalcul!$K$25</f>
        <v>0</v>
      </c>
      <c r="AJ35" s="234">
        <f>DGcalcul!$K$24</f>
        <v>0</v>
      </c>
      <c r="AK35" s="235">
        <f>DGbaseF2V!E16</f>
        <v>-0.97420434</v>
      </c>
      <c r="AL35" s="247">
        <f t="shared" si="8"/>
        <v>-0.97420434</v>
      </c>
    </row>
    <row r="36" spans="1:38" s="241" customFormat="1" outlineLevel="1" x14ac:dyDescent="0.3">
      <c r="A36" s="259" t="s">
        <v>403</v>
      </c>
      <c r="B36" s="217" t="str">
        <f>DGcalcul!$E$19</f>
        <v>Mixed or Unknown collection</v>
      </c>
      <c r="C36" s="217" t="str">
        <f t="shared" si="13"/>
        <v>PP Mixed or Unknown collection</v>
      </c>
      <c r="D36" s="237" t="s">
        <v>429</v>
      </c>
      <c r="E36" s="238" t="s">
        <v>430</v>
      </c>
      <c r="F36" s="220">
        <f>DGcalcul!$E$8</f>
        <v>0</v>
      </c>
      <c r="G36" s="218">
        <f>'DGbase données'!D14</f>
        <v>3.4161855999999999</v>
      </c>
      <c r="H36" s="239">
        <f t="shared" si="12"/>
        <v>3.4161855999999999</v>
      </c>
      <c r="I36" s="220">
        <f>DGcalcul!$E$8</f>
        <v>0</v>
      </c>
      <c r="J36" s="240">
        <v>0.5</v>
      </c>
      <c r="K36" s="224">
        <f>DGbaseF2V!F17</f>
        <v>0.61296346000000002</v>
      </c>
      <c r="L36" s="241">
        <f t="shared" si="0"/>
        <v>3.4161855999999999</v>
      </c>
      <c r="M36" s="240">
        <v>0.9</v>
      </c>
      <c r="N36" s="240">
        <v>1</v>
      </c>
      <c r="O36" s="240">
        <f t="shared" si="14"/>
        <v>0.9</v>
      </c>
      <c r="P36" s="225">
        <f t="shared" si="15"/>
        <v>0</v>
      </c>
      <c r="Q36" s="260">
        <f t="shared" si="19"/>
        <v>3.4161855999999999</v>
      </c>
      <c r="R36" s="242">
        <v>0.5</v>
      </c>
      <c r="S36" s="228" t="e">
        <f>IF(DGcalcul!$I$19="yes",VLOOKUP(DGcalcul!$G$3,DGliste!$F$13:$G$19,2,0),HLOOKUP($A$23,'DGbase données'!$B$78:$E$81,3,0))</f>
        <v>#N/A</v>
      </c>
      <c r="T36" s="241">
        <v>2.7189739999999998</v>
      </c>
      <c r="U36" s="241">
        <f t="shared" si="1"/>
        <v>3.4161855999999999</v>
      </c>
      <c r="V36" s="240">
        <v>0.9</v>
      </c>
      <c r="W36" s="240">
        <v>1</v>
      </c>
      <c r="X36" s="240">
        <f t="shared" si="16"/>
        <v>0.9</v>
      </c>
      <c r="Y36" s="243" t="e">
        <f t="shared" si="17"/>
        <v>#N/A</v>
      </c>
      <c r="Z36" s="244">
        <v>0</v>
      </c>
      <c r="AA36" s="228" t="e">
        <f>IF(DGcalcul!$I$19="yes",VLOOKUP(DGcalcul!$G$3,DGliste!$F$13:$G$19,2,0),HLOOKUP($A$23,'DGbase données'!$B$78:$E$81,2,0))</f>
        <v>#N/A</v>
      </c>
      <c r="AB36" s="224">
        <f>DGbaseF2V!D17</f>
        <v>0</v>
      </c>
      <c r="AC36" s="231">
        <f>HLOOKUP(C36,DGbasecoll!$B$3:$K$4,2,0)</f>
        <v>19.52</v>
      </c>
      <c r="AD36" s="245">
        <v>0.187</v>
      </c>
      <c r="AE36" s="232">
        <f>DGbasevalo!C15</f>
        <v>4.2297600999999997E-2</v>
      </c>
      <c r="AF36" s="245">
        <v>0.08</v>
      </c>
      <c r="AG36" s="231">
        <f>DGbasevalo!D15</f>
        <v>0.11007992</v>
      </c>
      <c r="AH36" s="246" t="e">
        <f t="shared" si="18"/>
        <v>#N/A</v>
      </c>
      <c r="AI36" s="234">
        <f>DGcalcul!$K$25</f>
        <v>0</v>
      </c>
      <c r="AJ36" s="234">
        <f>DGcalcul!$K$24</f>
        <v>0</v>
      </c>
      <c r="AK36" s="235">
        <f>DGbaseF2V!E17</f>
        <v>0</v>
      </c>
      <c r="AL36" s="247">
        <f t="shared" si="8"/>
        <v>0</v>
      </c>
    </row>
    <row r="37" spans="1:38" s="241" customFormat="1" outlineLevel="1" x14ac:dyDescent="0.3">
      <c r="A37" s="259" t="s">
        <v>403</v>
      </c>
      <c r="B37" s="217" t="str">
        <f>DGcalcul!$E$19</f>
        <v>Mixed or Unknown collection</v>
      </c>
      <c r="C37" s="217" t="str">
        <f t="shared" si="13"/>
        <v>PP Mixed or Unknown collection</v>
      </c>
      <c r="D37" s="237" t="s">
        <v>332</v>
      </c>
      <c r="E37" s="238" t="s">
        <v>431</v>
      </c>
      <c r="F37" s="220">
        <f>DGcalcul!$E$8</f>
        <v>0</v>
      </c>
      <c r="G37" s="218">
        <f>'DGbase données'!D15</f>
        <v>0.94954499000000003</v>
      </c>
      <c r="H37" s="239">
        <f t="shared" si="12"/>
        <v>0.94954499000000003</v>
      </c>
      <c r="I37" s="220">
        <f>DGcalcul!$E$8</f>
        <v>0</v>
      </c>
      <c r="J37" s="240">
        <v>0.5</v>
      </c>
      <c r="K37" s="224">
        <f>DGbaseF2V!F18</f>
        <v>7.9340330000000001E-2</v>
      </c>
      <c r="L37" s="241">
        <f t="shared" si="0"/>
        <v>0.94954499000000003</v>
      </c>
      <c r="M37" s="240">
        <v>0.9</v>
      </c>
      <c r="N37" s="240">
        <v>1</v>
      </c>
      <c r="O37" s="240">
        <f t="shared" si="14"/>
        <v>0.9</v>
      </c>
      <c r="P37" s="225">
        <f t="shared" si="15"/>
        <v>0</v>
      </c>
      <c r="Q37" s="260">
        <f t="shared" si="19"/>
        <v>0.94954499000000003</v>
      </c>
      <c r="R37" s="242">
        <v>0.5</v>
      </c>
      <c r="S37" s="228" t="e">
        <f>IF(DGcalcul!$I$19="yes",VLOOKUP(DGcalcul!$G$3,DGliste!$F$13:$G$19,2,0),HLOOKUP($A$23,'DGbase données'!$B$78:$E$81,3,0))</f>
        <v>#N/A</v>
      </c>
      <c r="T37" s="241">
        <v>0.18795039999999999</v>
      </c>
      <c r="U37" s="241">
        <f t="shared" si="1"/>
        <v>0.94954499000000003</v>
      </c>
      <c r="V37" s="240">
        <v>0.9</v>
      </c>
      <c r="W37" s="240">
        <v>1</v>
      </c>
      <c r="X37" s="240">
        <f t="shared" si="16"/>
        <v>0.9</v>
      </c>
      <c r="Y37" s="243" t="e">
        <f t="shared" si="17"/>
        <v>#N/A</v>
      </c>
      <c r="Z37" s="244">
        <v>0</v>
      </c>
      <c r="AA37" s="228" t="e">
        <f>IF(DGcalcul!$I$19="yes",VLOOKUP(DGcalcul!$G$3,DGliste!$F$13:$G$19,2,0),HLOOKUP($A$23,'DGbase données'!$B$78:$E$81,2,0))</f>
        <v>#N/A</v>
      </c>
      <c r="AB37" s="224">
        <f>DGbaseF2V!D18</f>
        <v>-0.15971267</v>
      </c>
      <c r="AC37" s="231">
        <f>HLOOKUP(C37,DGbasecoll!$B$3:$K$4,2,0)</f>
        <v>19.52</v>
      </c>
      <c r="AD37" s="245">
        <v>0.187</v>
      </c>
      <c r="AE37" s="232">
        <f>DGbasevalo!C16</f>
        <v>9.3119741999999998E-4</v>
      </c>
      <c r="AF37" s="245">
        <v>0.08</v>
      </c>
      <c r="AG37" s="231">
        <f>DGbasevalo!D16</f>
        <v>7.6093280000000003E-3</v>
      </c>
      <c r="AH37" s="246" t="e">
        <f t="shared" si="18"/>
        <v>#N/A</v>
      </c>
      <c r="AI37" s="234">
        <f>DGcalcul!$K$25</f>
        <v>0</v>
      </c>
      <c r="AJ37" s="234">
        <f>DGcalcul!$K$24</f>
        <v>0</v>
      </c>
      <c r="AK37" s="235">
        <f>DGbaseF2V!E18</f>
        <v>-4.3465658000000004E-3</v>
      </c>
      <c r="AL37" s="247">
        <f t="shared" si="8"/>
        <v>-4.3465658000000004E-3</v>
      </c>
    </row>
    <row r="38" spans="1:38" s="241" customFormat="1" outlineLevel="1" x14ac:dyDescent="0.3">
      <c r="A38" s="259" t="s">
        <v>403</v>
      </c>
      <c r="B38" s="217" t="str">
        <f>DGcalcul!$E$19</f>
        <v>Mixed or Unknown collection</v>
      </c>
      <c r="C38" s="217" t="str">
        <f t="shared" si="13"/>
        <v>PP Mixed or Unknown collection</v>
      </c>
      <c r="D38" s="237" t="s">
        <v>432</v>
      </c>
      <c r="E38" s="238" t="s">
        <v>347</v>
      </c>
      <c r="F38" s="220">
        <f>DGcalcul!$E$8</f>
        <v>0</v>
      </c>
      <c r="G38" s="218">
        <f>'DGbase données'!D16</f>
        <v>75.386380000000003</v>
      </c>
      <c r="H38" s="239">
        <f t="shared" si="12"/>
        <v>75.386380000000003</v>
      </c>
      <c r="I38" s="220">
        <f>DGcalcul!$E$8</f>
        <v>0</v>
      </c>
      <c r="J38" s="240">
        <v>0.5</v>
      </c>
      <c r="K38" s="224">
        <f>DGbaseF2V!F19</f>
        <v>2.5370195</v>
      </c>
      <c r="L38" s="241">
        <f t="shared" si="0"/>
        <v>75.386380000000003</v>
      </c>
      <c r="M38" s="240">
        <v>0.9</v>
      </c>
      <c r="N38" s="240">
        <v>1</v>
      </c>
      <c r="O38" s="240">
        <f t="shared" si="14"/>
        <v>0.9</v>
      </c>
      <c r="P38" s="225">
        <f t="shared" si="15"/>
        <v>0</v>
      </c>
      <c r="Q38" s="260">
        <f t="shared" si="19"/>
        <v>75.386380000000003</v>
      </c>
      <c r="R38" s="242">
        <v>0.5</v>
      </c>
      <c r="S38" s="228" t="e">
        <f>IF(DGcalcul!$I$19="yes",VLOOKUP(DGcalcul!$G$3,DGliste!$F$13:$G$19,2,0),HLOOKUP($A$23,'DGbase données'!$B$78:$E$81,3,0))</f>
        <v>#N/A</v>
      </c>
      <c r="T38" s="241">
        <v>79.181154000000006</v>
      </c>
      <c r="U38" s="241">
        <f t="shared" si="1"/>
        <v>75.386380000000003</v>
      </c>
      <c r="V38" s="240">
        <v>0.9</v>
      </c>
      <c r="W38" s="240">
        <v>1</v>
      </c>
      <c r="X38" s="240">
        <f t="shared" si="16"/>
        <v>0.9</v>
      </c>
      <c r="Y38" s="243" t="e">
        <f t="shared" si="17"/>
        <v>#N/A</v>
      </c>
      <c r="Z38" s="244">
        <v>0</v>
      </c>
      <c r="AA38" s="228" t="e">
        <f>IF(DGcalcul!$I$19="yes",VLOOKUP(DGcalcul!$G$3,DGliste!$F$13:$G$19,2,0),HLOOKUP($A$23,'DGbase données'!$B$78:$E$81,2,0))</f>
        <v>#N/A</v>
      </c>
      <c r="AB38" s="224">
        <f>DGbaseF2V!D19</f>
        <v>32.439762000000002</v>
      </c>
      <c r="AC38" s="231">
        <f>HLOOKUP(C38,DGbasecoll!$B$3:$K$4,2,0)</f>
        <v>19.52</v>
      </c>
      <c r="AD38" s="245">
        <v>0.187</v>
      </c>
      <c r="AE38" s="232">
        <f>DGbasevalo!C17</f>
        <v>1.1585103000000001</v>
      </c>
      <c r="AF38" s="245">
        <v>0.08</v>
      </c>
      <c r="AG38" s="231">
        <f>DGbasevalo!D17</f>
        <v>3.2057147000000001</v>
      </c>
      <c r="AH38" s="246" t="e">
        <f t="shared" si="18"/>
        <v>#N/A</v>
      </c>
      <c r="AI38" s="234">
        <f>DGcalcul!$K$25</f>
        <v>0</v>
      </c>
      <c r="AJ38" s="234">
        <f>DGcalcul!$K$24</f>
        <v>0</v>
      </c>
      <c r="AK38" s="235">
        <f>DGbaseF2V!E19</f>
        <v>-1.1173516999999999</v>
      </c>
      <c r="AL38" s="247">
        <f t="shared" si="8"/>
        <v>-1.1173516999999999</v>
      </c>
    </row>
    <row r="39" spans="1:38" s="248" customFormat="1" outlineLevel="1" x14ac:dyDescent="0.3">
      <c r="A39" s="261" t="s">
        <v>403</v>
      </c>
      <c r="B39" s="217" t="str">
        <f>DGcalcul!$E$19</f>
        <v>Mixed or Unknown collection</v>
      </c>
      <c r="C39" s="217" t="str">
        <f t="shared" si="13"/>
        <v>PP Mixed or Unknown collection</v>
      </c>
      <c r="D39" s="248" t="s">
        <v>334</v>
      </c>
      <c r="E39" s="249" t="s">
        <v>348</v>
      </c>
      <c r="F39" s="220">
        <f>DGcalcul!$E$8</f>
        <v>0</v>
      </c>
      <c r="G39" s="218">
        <f>'DGbase données'!D17</f>
        <v>1.4021572999999999E-5</v>
      </c>
      <c r="H39" s="250">
        <f t="shared" si="12"/>
        <v>1.4021572999999999E-5</v>
      </c>
      <c r="I39" s="220">
        <f>DGcalcul!$E$8</f>
        <v>0</v>
      </c>
      <c r="J39" s="240">
        <v>0.5</v>
      </c>
      <c r="K39" s="224">
        <f>DGbaseF2V!F20</f>
        <v>3.7489469000000001E-7</v>
      </c>
      <c r="L39" s="248">
        <f t="shared" si="0"/>
        <v>1.4021572999999999E-5</v>
      </c>
      <c r="M39" s="251">
        <v>0.9</v>
      </c>
      <c r="N39" s="251">
        <v>1</v>
      </c>
      <c r="O39" s="251">
        <f t="shared" si="14"/>
        <v>0.9</v>
      </c>
      <c r="P39" s="225">
        <f t="shared" si="15"/>
        <v>0</v>
      </c>
      <c r="Q39" s="260">
        <f t="shared" si="19"/>
        <v>1.4021572999999999E-5</v>
      </c>
      <c r="R39" s="252">
        <v>0.5</v>
      </c>
      <c r="S39" s="228" t="e">
        <f>IF(DGcalcul!$I$19="yes",VLOOKUP(DGcalcul!$G$3,DGliste!$F$13:$G$19,2,0),HLOOKUP($A$23,'DGbase données'!$B$78:$E$81,3,0))</f>
        <v>#N/A</v>
      </c>
      <c r="T39" s="248">
        <v>5.4439601000000004E-6</v>
      </c>
      <c r="U39" s="248">
        <f t="shared" si="1"/>
        <v>1.4021572999999999E-5</v>
      </c>
      <c r="V39" s="251">
        <v>0.9</v>
      </c>
      <c r="W39" s="251">
        <v>1</v>
      </c>
      <c r="X39" s="251">
        <f t="shared" si="16"/>
        <v>0.9</v>
      </c>
      <c r="Y39" s="253" t="e">
        <f t="shared" si="17"/>
        <v>#N/A</v>
      </c>
      <c r="Z39" s="254">
        <v>0</v>
      </c>
      <c r="AA39" s="228" t="e">
        <f>IF(DGcalcul!$I$19="yes",VLOOKUP(DGcalcul!$G$3,DGliste!$F$13:$G$19,2,0),HLOOKUP($A$23,'DGbase données'!$B$78:$E$81,2,0))</f>
        <v>#N/A</v>
      </c>
      <c r="AB39" s="224">
        <f>DGbaseF2V!D20</f>
        <v>7.4376084999999994E-8</v>
      </c>
      <c r="AC39" s="231">
        <f>HLOOKUP(C39,DGbasecoll!$B$3:$K$4,2,0)</f>
        <v>19.52</v>
      </c>
      <c r="AD39" s="255">
        <v>0.187</v>
      </c>
      <c r="AE39" s="232">
        <f>DGbasevalo!C18</f>
        <v>9.4112040000000002E-8</v>
      </c>
      <c r="AF39" s="255">
        <v>0.08</v>
      </c>
      <c r="AG39" s="231">
        <f>DGbasevalo!D18</f>
        <v>2.2040323999999999E-7</v>
      </c>
      <c r="AH39" s="256" t="e">
        <f t="shared" si="18"/>
        <v>#N/A</v>
      </c>
      <c r="AI39" s="234">
        <f>DGcalcul!$K$25</f>
        <v>0</v>
      </c>
      <c r="AJ39" s="234">
        <f>DGcalcul!$K$24</f>
        <v>0</v>
      </c>
      <c r="AK39" s="235">
        <f>DGbaseF2V!E20</f>
        <v>-5.4718007000000003E-9</v>
      </c>
      <c r="AL39" s="257">
        <f t="shared" si="8"/>
        <v>-5.4718007000000003E-9</v>
      </c>
    </row>
    <row r="40" spans="1:38" s="215" customFormat="1" ht="18" x14ac:dyDescent="0.35">
      <c r="A40" s="201" t="s">
        <v>404</v>
      </c>
      <c r="B40" s="202"/>
      <c r="C40" s="350"/>
      <c r="D40" s="203"/>
      <c r="E40" s="203"/>
      <c r="F40" s="204"/>
      <c r="G40" s="203"/>
      <c r="H40" s="205"/>
      <c r="I40" s="203"/>
      <c r="J40" s="203"/>
      <c r="K40" s="203"/>
      <c r="L40" s="203"/>
      <c r="M40" s="203"/>
      <c r="N40" s="203"/>
      <c r="O40" s="203"/>
      <c r="P40" s="205"/>
      <c r="Q40" s="205"/>
      <c r="R40" s="203"/>
      <c r="S40" s="206"/>
      <c r="T40" s="203"/>
      <c r="U40" s="203"/>
      <c r="V40" s="203"/>
      <c r="W40" s="203"/>
      <c r="X40" s="203"/>
      <c r="Y40" s="207"/>
      <c r="Z40" s="208"/>
      <c r="AA40" s="209"/>
      <c r="AB40" s="203"/>
      <c r="AC40" s="203"/>
      <c r="AD40" s="203"/>
      <c r="AE40" s="203"/>
      <c r="AF40" s="203"/>
      <c r="AG40" s="262"/>
      <c r="AH40" s="263"/>
      <c r="AI40" s="211"/>
      <c r="AJ40" s="212"/>
      <c r="AK40" s="213"/>
      <c r="AL40" s="214"/>
    </row>
    <row r="41" spans="1:38" s="224" customFormat="1" outlineLevel="1" x14ac:dyDescent="0.3">
      <c r="A41" s="216" t="s">
        <v>404</v>
      </c>
      <c r="B41" s="217" t="str">
        <f>DGcalcul!$E$19</f>
        <v>Mixed or Unknown collection</v>
      </c>
      <c r="C41" s="217" t="str">
        <f>CONCATENATE(A41," ",B41)</f>
        <v>LDPE Mixed or Unknown collection</v>
      </c>
      <c r="D41" s="218" t="s">
        <v>327</v>
      </c>
      <c r="E41" s="219" t="s">
        <v>336</v>
      </c>
      <c r="F41" s="220">
        <f>DGcalcul!$E$8</f>
        <v>0</v>
      </c>
      <c r="G41" s="218">
        <f>'DGbase données'!E2</f>
        <v>2.5643614000000001</v>
      </c>
      <c r="H41" s="221">
        <f>(1-F41)*G41</f>
        <v>2.5643614000000001</v>
      </c>
      <c r="I41" s="220">
        <f>DGcalcul!$E$8</f>
        <v>0</v>
      </c>
      <c r="J41" s="222">
        <v>0.5</v>
      </c>
      <c r="K41" s="223">
        <f>DGbaseF2V!P5</f>
        <v>0.17064777</v>
      </c>
      <c r="L41" s="224">
        <f t="shared" si="0"/>
        <v>2.5643614000000001</v>
      </c>
      <c r="M41" s="222">
        <v>0.75</v>
      </c>
      <c r="N41" s="222">
        <v>1</v>
      </c>
      <c r="O41" s="222">
        <f>M41/N41</f>
        <v>0.75</v>
      </c>
      <c r="P41" s="225">
        <f>I41*(J41*K41+(1-J41)*L41*O41)</f>
        <v>0</v>
      </c>
      <c r="Q41" s="258">
        <f>H41+P41</f>
        <v>2.5643614000000001</v>
      </c>
      <c r="R41" s="227">
        <v>0.5</v>
      </c>
      <c r="S41" s="228" t="e">
        <f>IF(DGcalcul!$I$19="yes",VLOOKUP(DGcalcul!$G$3,DGliste!$F$13:$G$19,2,0),HLOOKUP($A$40,'DGbase données'!$B$78:$E$81,3,0))</f>
        <v>#N/A</v>
      </c>
      <c r="T41" s="223">
        <v>0.62634272000000002</v>
      </c>
      <c r="U41" s="224">
        <f t="shared" si="1"/>
        <v>2.5643614000000001</v>
      </c>
      <c r="V41" s="222">
        <v>0.75</v>
      </c>
      <c r="W41" s="222">
        <v>1</v>
      </c>
      <c r="X41" s="222">
        <f>V41/W41</f>
        <v>0.75</v>
      </c>
      <c r="Y41" s="264" t="e">
        <f>(1-R41)*S41*(T41-U41*X41)</f>
        <v>#N/A</v>
      </c>
      <c r="Z41" s="230">
        <v>0</v>
      </c>
      <c r="AA41" s="228" t="e">
        <f>IF(DGcalcul!$I$19="yes",VLOOKUP(DGcalcul!$G$3,DGliste!$F$13:$G$19,2,0),HLOOKUP($A$40,'DGbase données'!$B$78:$E$81,2,0))</f>
        <v>#N/A</v>
      </c>
      <c r="AB41" s="223">
        <f>DGbaseF2V!N6</f>
        <v>1.6045051000000001E-7</v>
      </c>
      <c r="AC41" s="231">
        <f>HLOOKUP(C41,DGbasecoll!$B$3:$K$4,2,0)</f>
        <v>19.52</v>
      </c>
      <c r="AD41" s="228">
        <v>0.187</v>
      </c>
      <c r="AE41" s="232">
        <f>DGbasevalo!C3</f>
        <v>7.7330222000000004E-2</v>
      </c>
      <c r="AF41" s="228">
        <v>0.08</v>
      </c>
      <c r="AG41" s="231">
        <f>DGbasevalo!D3</f>
        <v>2.2289777E-2</v>
      </c>
      <c r="AH41" s="265" t="e">
        <f>(1-Z41)*AA41*(AB41-AC41*AD41*AE41-AC41*AF41*AG41)</f>
        <v>#N/A</v>
      </c>
      <c r="AI41" s="234">
        <f>DGcalcul!$K$25</f>
        <v>0</v>
      </c>
      <c r="AJ41" s="234">
        <f>DGcalcul!$K$24</f>
        <v>0</v>
      </c>
      <c r="AK41" s="235">
        <f>DGbaseF2V!O5</f>
        <v>-7.1919412000000002E-2</v>
      </c>
      <c r="AL41" s="236">
        <f t="shared" si="8"/>
        <v>-7.1919412000000002E-2</v>
      </c>
    </row>
    <row r="42" spans="1:38" s="241" customFormat="1" outlineLevel="1" x14ac:dyDescent="0.3">
      <c r="A42" s="216" t="s">
        <v>404</v>
      </c>
      <c r="B42" s="217" t="str">
        <f>DGcalcul!$E$19</f>
        <v>Mixed or Unknown collection</v>
      </c>
      <c r="C42" s="217" t="str">
        <f t="shared" si="13"/>
        <v>LDPE Mixed or Unknown collection</v>
      </c>
      <c r="D42" s="237" t="s">
        <v>416</v>
      </c>
      <c r="E42" s="238" t="s">
        <v>417</v>
      </c>
      <c r="F42" s="220">
        <f>DGcalcul!$E$8</f>
        <v>0</v>
      </c>
      <c r="G42" s="218">
        <f>'DGbase données'!E3</f>
        <v>5.2612219000000002E-8</v>
      </c>
      <c r="H42" s="239">
        <f t="shared" ref="H42:H55" si="20">(1-F42)*G42</f>
        <v>5.2612219000000002E-8</v>
      </c>
      <c r="I42" s="220">
        <f>DGcalcul!$E$8</f>
        <v>0</v>
      </c>
      <c r="J42" s="240">
        <v>0.5</v>
      </c>
      <c r="K42" s="223">
        <f>DGbaseF2V!P6</f>
        <v>3.7804804999999999E-9</v>
      </c>
      <c r="L42" s="241">
        <f t="shared" si="0"/>
        <v>5.2612219000000002E-8</v>
      </c>
      <c r="M42" s="240">
        <v>0.75</v>
      </c>
      <c r="N42" s="240">
        <v>1</v>
      </c>
      <c r="O42" s="240">
        <f t="shared" ref="O42:O56" si="21">M42/N42</f>
        <v>0.75</v>
      </c>
      <c r="P42" s="225">
        <f t="shared" ref="P42:P56" si="22">I42*(J42*K42+(1-J42)*L42*O42)</f>
        <v>0</v>
      </c>
      <c r="Q42" s="260">
        <f>H42+P42</f>
        <v>5.2612219000000002E-8</v>
      </c>
      <c r="R42" s="242">
        <v>0.5</v>
      </c>
      <c r="S42" s="228" t="e">
        <f>IF(DGcalcul!$I$19="yes",VLOOKUP(DGcalcul!$G$3,DGliste!$F$13:$G$19,2,0),HLOOKUP($A$40,'DGbase données'!$B$78:$E$81,3,0))</f>
        <v>#N/A</v>
      </c>
      <c r="T42" s="266">
        <v>6.5790846999999998E-8</v>
      </c>
      <c r="U42" s="241">
        <f t="shared" si="1"/>
        <v>5.2612219000000002E-8</v>
      </c>
      <c r="V42" s="240">
        <v>0.75</v>
      </c>
      <c r="W42" s="240">
        <v>1</v>
      </c>
      <c r="X42" s="240">
        <f t="shared" ref="X42:X56" si="23">V42/W42</f>
        <v>0.75</v>
      </c>
      <c r="Y42" s="243" t="e">
        <f t="shared" ref="Y42:Y56" si="24">(1-R42)*S42*(T42-U42*X42)</f>
        <v>#N/A</v>
      </c>
      <c r="Z42" s="244">
        <v>0</v>
      </c>
      <c r="AA42" s="228" t="e">
        <f>IF(DGcalcul!$I$19="yes",VLOOKUP(DGcalcul!$G$3,DGliste!$F$13:$G$19,2,0),HLOOKUP($A$40,'DGbase données'!$B$78:$E$81,2,0))</f>
        <v>#N/A</v>
      </c>
      <c r="AB42" s="223">
        <f>DGbaseF2V!N7</f>
        <v>0.25370590999999998</v>
      </c>
      <c r="AC42" s="231">
        <f>HLOOKUP(C42,DGbasecoll!$B$3:$K$4,2,0)</f>
        <v>19.52</v>
      </c>
      <c r="AD42" s="245">
        <v>0.187</v>
      </c>
      <c r="AE42" s="232">
        <f>DGbasevalo!C4</f>
        <v>8.0992136000000005E-9</v>
      </c>
      <c r="AF42" s="245">
        <v>0.08</v>
      </c>
      <c r="AG42" s="231">
        <f>DGbasevalo!D4</f>
        <v>2.3413113000000001E-9</v>
      </c>
      <c r="AH42" s="246" t="e">
        <f t="shared" ref="AH42:AH56" si="25">(1-Z42)*AA42*(AB42-AC42*AD42*AE42-AC42*AF42*AG42)</f>
        <v>#N/A</v>
      </c>
      <c r="AI42" s="234">
        <f>DGcalcul!$K$25</f>
        <v>0</v>
      </c>
      <c r="AJ42" s="234">
        <f>DGcalcul!$K$24</f>
        <v>0</v>
      </c>
      <c r="AK42" s="235">
        <f>DGbaseF2V!O6</f>
        <v>-2.2703682000000001E-9</v>
      </c>
      <c r="AL42" s="247">
        <f t="shared" si="8"/>
        <v>-2.2703682000000001E-9</v>
      </c>
    </row>
    <row r="43" spans="1:38" s="241" customFormat="1" outlineLevel="1" x14ac:dyDescent="0.3">
      <c r="A43" s="216" t="s">
        <v>404</v>
      </c>
      <c r="B43" s="217" t="str">
        <f>DGcalcul!$E$19</f>
        <v>Mixed or Unknown collection</v>
      </c>
      <c r="C43" s="217" t="str">
        <f t="shared" si="13"/>
        <v>LDPE Mixed or Unknown collection</v>
      </c>
      <c r="D43" s="237" t="s">
        <v>418</v>
      </c>
      <c r="E43" s="238" t="s">
        <v>419</v>
      </c>
      <c r="F43" s="220">
        <f>DGcalcul!$E$8</f>
        <v>0</v>
      </c>
      <c r="G43" s="218">
        <f>'DGbase données'!E4</f>
        <v>0.11937664000000001</v>
      </c>
      <c r="H43" s="239">
        <f t="shared" si="20"/>
        <v>0.11937664000000001</v>
      </c>
      <c r="I43" s="220">
        <f>DGcalcul!$E$8</f>
        <v>0</v>
      </c>
      <c r="J43" s="240">
        <v>0.5</v>
      </c>
      <c r="K43" s="223">
        <f>DGbaseF2V!P7</f>
        <v>9.4258686999999994E-2</v>
      </c>
      <c r="L43" s="241">
        <f t="shared" si="0"/>
        <v>0.11937664000000001</v>
      </c>
      <c r="M43" s="240">
        <v>0.75</v>
      </c>
      <c r="N43" s="240">
        <v>1</v>
      </c>
      <c r="O43" s="240">
        <f t="shared" si="21"/>
        <v>0.75</v>
      </c>
      <c r="P43" s="225">
        <f t="shared" si="22"/>
        <v>0</v>
      </c>
      <c r="Q43" s="260">
        <f t="shared" ref="Q43:Q56" si="26">H43+P43</f>
        <v>0.11937664000000001</v>
      </c>
      <c r="R43" s="242">
        <v>0.5</v>
      </c>
      <c r="S43" s="228" t="e">
        <f>IF(DGcalcul!$I$19="yes",VLOOKUP(DGcalcul!$G$3,DGliste!$F$13:$G$19,2,0),HLOOKUP($A$40,'DGbase données'!$B$78:$E$81,3,0))</f>
        <v>#N/A</v>
      </c>
      <c r="T43" s="266">
        <v>4.1369674999999999</v>
      </c>
      <c r="U43" s="241">
        <f t="shared" si="1"/>
        <v>0.11937664000000001</v>
      </c>
      <c r="V43" s="240">
        <v>0.75</v>
      </c>
      <c r="W43" s="240">
        <v>1</v>
      </c>
      <c r="X43" s="240">
        <f t="shared" si="23"/>
        <v>0.75</v>
      </c>
      <c r="Y43" s="243" t="e">
        <f t="shared" si="24"/>
        <v>#N/A</v>
      </c>
      <c r="Z43" s="244">
        <v>0</v>
      </c>
      <c r="AA43" s="228" t="e">
        <f>IF(DGcalcul!$I$19="yes",VLOOKUP(DGcalcul!$G$3,DGliste!$F$13:$G$19,2,0),HLOOKUP($A$40,'DGbase données'!$B$78:$E$81,2,0))</f>
        <v>#N/A</v>
      </c>
      <c r="AB43" s="223">
        <f>DGbaseF2V!N8</f>
        <v>4.8975648000000004E-3</v>
      </c>
      <c r="AC43" s="231">
        <f>HLOOKUP(C43,DGbasecoll!$B$3:$K$4,2,0)</f>
        <v>19.52</v>
      </c>
      <c r="AD43" s="245">
        <v>0.187</v>
      </c>
      <c r="AE43" s="232">
        <f>DGbasevalo!C5</f>
        <v>1.1716807000000001E-3</v>
      </c>
      <c r="AF43" s="245">
        <v>0.08</v>
      </c>
      <c r="AG43" s="231">
        <f>DGbasevalo!D5</f>
        <v>0.14722304</v>
      </c>
      <c r="AH43" s="246" t="e">
        <f t="shared" si="25"/>
        <v>#N/A</v>
      </c>
      <c r="AI43" s="234">
        <f>DGcalcul!$K$25</f>
        <v>0</v>
      </c>
      <c r="AJ43" s="234">
        <f>DGcalcul!$K$24</f>
        <v>0</v>
      </c>
      <c r="AK43" s="235">
        <f>DGbaseF2V!O7</f>
        <v>-3.5874136E-3</v>
      </c>
      <c r="AL43" s="247">
        <f t="shared" si="8"/>
        <v>-3.5874136E-3</v>
      </c>
    </row>
    <row r="44" spans="1:38" s="241" customFormat="1" outlineLevel="1" x14ac:dyDescent="0.3">
      <c r="A44" s="216" t="s">
        <v>404</v>
      </c>
      <c r="B44" s="217" t="str">
        <f>DGcalcul!$E$19</f>
        <v>Mixed or Unknown collection</v>
      </c>
      <c r="C44" s="217" t="str">
        <f t="shared" si="13"/>
        <v>LDPE Mixed or Unknown collection</v>
      </c>
      <c r="D44" s="237" t="s">
        <v>328</v>
      </c>
      <c r="E44" s="238" t="s">
        <v>342</v>
      </c>
      <c r="F44" s="220">
        <f>DGcalcul!$E$8</f>
        <v>0</v>
      </c>
      <c r="G44" s="218">
        <f>'DGbase données'!E5</f>
        <v>1.0818777999999999E-2</v>
      </c>
      <c r="H44" s="239">
        <f t="shared" si="20"/>
        <v>1.0818777999999999E-2</v>
      </c>
      <c r="I44" s="220">
        <f>DGcalcul!$E$8</f>
        <v>0</v>
      </c>
      <c r="J44" s="240">
        <v>0.5</v>
      </c>
      <c r="K44" s="223">
        <f>DGbaseF2V!P8</f>
        <v>4.6315437E-4</v>
      </c>
      <c r="L44" s="241">
        <f t="shared" si="0"/>
        <v>1.0818777999999999E-2</v>
      </c>
      <c r="M44" s="240">
        <v>0.75</v>
      </c>
      <c r="N44" s="240">
        <v>1</v>
      </c>
      <c r="O44" s="240">
        <f t="shared" si="21"/>
        <v>0.75</v>
      </c>
      <c r="P44" s="225">
        <f t="shared" si="22"/>
        <v>0</v>
      </c>
      <c r="Q44" s="260">
        <f t="shared" si="26"/>
        <v>1.0818777999999999E-2</v>
      </c>
      <c r="R44" s="242">
        <v>0.5</v>
      </c>
      <c r="S44" s="228" t="e">
        <f>IF(DGcalcul!$I$19="yes",VLOOKUP(DGcalcul!$G$3,DGliste!$F$13:$G$19,2,0),HLOOKUP($A$40,'DGbase données'!$B$78:$E$81,3,0))</f>
        <v>#N/A</v>
      </c>
      <c r="T44" s="266">
        <v>1.6319308E-3</v>
      </c>
      <c r="U44" s="241">
        <f t="shared" si="1"/>
        <v>1.0818777999999999E-2</v>
      </c>
      <c r="V44" s="240">
        <v>0.75</v>
      </c>
      <c r="W44" s="240">
        <v>1</v>
      </c>
      <c r="X44" s="240">
        <f t="shared" si="23"/>
        <v>0.75</v>
      </c>
      <c r="Y44" s="243" t="e">
        <f t="shared" si="24"/>
        <v>#N/A</v>
      </c>
      <c r="Z44" s="244">
        <v>0</v>
      </c>
      <c r="AA44" s="228" t="e">
        <f>IF(DGcalcul!$I$19="yes",VLOOKUP(DGcalcul!$G$3,DGliste!$F$13:$G$19,2,0),HLOOKUP($A$40,'DGbase données'!$B$78:$E$81,2,0))</f>
        <v>#N/A</v>
      </c>
      <c r="AB44" s="223">
        <f>DGbaseF2V!N9</f>
        <v>1.4669214000000001E-7</v>
      </c>
      <c r="AC44" s="231">
        <f>HLOOKUP(C44,DGbasecoll!$B$3:$K$4,2,0)</f>
        <v>19.52</v>
      </c>
      <c r="AD44" s="245">
        <v>0.187</v>
      </c>
      <c r="AE44" s="232">
        <f>DGbasevalo!C6</f>
        <v>7.9413265000000005E-5</v>
      </c>
      <c r="AF44" s="245">
        <v>0.08</v>
      </c>
      <c r="AG44" s="231">
        <f>DGbasevalo!D6</f>
        <v>5.8075829000000003E-5</v>
      </c>
      <c r="AH44" s="246" t="e">
        <f t="shared" si="25"/>
        <v>#N/A</v>
      </c>
      <c r="AI44" s="234">
        <f>DGcalcul!$K$25</f>
        <v>0</v>
      </c>
      <c r="AJ44" s="234">
        <f>DGcalcul!$K$24</f>
        <v>0</v>
      </c>
      <c r="AK44" s="235">
        <f>DGbaseF2V!O8</f>
        <v>-1.9214072000000001E-4</v>
      </c>
      <c r="AL44" s="247">
        <f t="shared" si="8"/>
        <v>-1.9214072000000001E-4</v>
      </c>
    </row>
    <row r="45" spans="1:38" s="241" customFormat="1" outlineLevel="1" x14ac:dyDescent="0.3">
      <c r="A45" s="216" t="s">
        <v>404</v>
      </c>
      <c r="B45" s="217" t="str">
        <f>DGcalcul!$E$19</f>
        <v>Mixed or Unknown collection</v>
      </c>
      <c r="C45" s="217" t="str">
        <f t="shared" si="13"/>
        <v>LDPE Mixed or Unknown collection</v>
      </c>
      <c r="D45" s="237" t="s">
        <v>329</v>
      </c>
      <c r="E45" s="238" t="s">
        <v>343</v>
      </c>
      <c r="F45" s="220">
        <f>DGcalcul!$E$8</f>
        <v>0</v>
      </c>
      <c r="G45" s="218">
        <f>'DGbase données'!E6</f>
        <v>1.0238838000000001E-7</v>
      </c>
      <c r="H45" s="239">
        <f t="shared" si="20"/>
        <v>1.0238838000000001E-7</v>
      </c>
      <c r="I45" s="220">
        <f>DGcalcul!$E$8</f>
        <v>0</v>
      </c>
      <c r="J45" s="240">
        <v>0.5</v>
      </c>
      <c r="K45" s="223">
        <f>DGbaseF2V!P9</f>
        <v>4.8432121999999997E-9</v>
      </c>
      <c r="L45" s="241">
        <f t="shared" si="0"/>
        <v>1.0238838000000001E-7</v>
      </c>
      <c r="M45" s="240">
        <v>0.75</v>
      </c>
      <c r="N45" s="240">
        <v>1</v>
      </c>
      <c r="O45" s="240">
        <f t="shared" si="21"/>
        <v>0.75</v>
      </c>
      <c r="P45" s="225">
        <f t="shared" si="22"/>
        <v>0</v>
      </c>
      <c r="Q45" s="260">
        <f t="shared" si="26"/>
        <v>1.0238838000000001E-7</v>
      </c>
      <c r="R45" s="242">
        <v>0.5</v>
      </c>
      <c r="S45" s="228" t="e">
        <f>IF(DGcalcul!$I$19="yes",VLOOKUP(DGcalcul!$G$3,DGliste!$F$13:$G$19,2,0),HLOOKUP($A$40,'DGbase données'!$B$78:$E$81,3,0))</f>
        <v>#N/A</v>
      </c>
      <c r="T45" s="266">
        <v>3.4225455999999997E-8</v>
      </c>
      <c r="U45" s="241">
        <f t="shared" si="1"/>
        <v>1.0238838000000001E-7</v>
      </c>
      <c r="V45" s="240">
        <v>0.75</v>
      </c>
      <c r="W45" s="240">
        <v>1</v>
      </c>
      <c r="X45" s="240">
        <f t="shared" si="23"/>
        <v>0.75</v>
      </c>
      <c r="Y45" s="243" t="e">
        <f t="shared" si="24"/>
        <v>#N/A</v>
      </c>
      <c r="Z45" s="244">
        <v>0</v>
      </c>
      <c r="AA45" s="228" t="e">
        <f>IF(DGcalcul!$I$19="yes",VLOOKUP(DGcalcul!$G$3,DGliste!$F$13:$G$19,2,0),HLOOKUP($A$40,'DGbase données'!$B$78:$E$81,2,0))</f>
        <v>#N/A</v>
      </c>
      <c r="AB45" s="223">
        <f>DGbaseF2V!N10</f>
        <v>7.6409497999999993E-9</v>
      </c>
      <c r="AC45" s="231">
        <f>HLOOKUP(C45,DGbasecoll!$B$3:$K$4,2,0)</f>
        <v>19.52</v>
      </c>
      <c r="AD45" s="245">
        <v>0.187</v>
      </c>
      <c r="AE45" s="232">
        <f>DGbasevalo!C7</f>
        <v>3.815356E-10</v>
      </c>
      <c r="AF45" s="245">
        <v>0.08</v>
      </c>
      <c r="AG45" s="231">
        <f>DGbasevalo!D7</f>
        <v>1.2179878E-9</v>
      </c>
      <c r="AH45" s="246" t="e">
        <f t="shared" si="25"/>
        <v>#N/A</v>
      </c>
      <c r="AI45" s="234">
        <f>DGcalcul!$K$25</f>
        <v>0</v>
      </c>
      <c r="AJ45" s="234">
        <f>DGcalcul!$K$24</f>
        <v>0</v>
      </c>
      <c r="AK45" s="235">
        <f>DGbaseF2V!O9</f>
        <v>-2.2139156000000001E-8</v>
      </c>
      <c r="AL45" s="247">
        <f t="shared" si="8"/>
        <v>-2.2139156000000001E-8</v>
      </c>
    </row>
    <row r="46" spans="1:38" s="241" customFormat="1" outlineLevel="1" x14ac:dyDescent="0.3">
      <c r="A46" s="216" t="s">
        <v>404</v>
      </c>
      <c r="B46" s="217" t="str">
        <f>DGcalcul!$E$19</f>
        <v>Mixed or Unknown collection</v>
      </c>
      <c r="C46" s="217" t="str">
        <f t="shared" si="13"/>
        <v>LDPE Mixed or Unknown collection</v>
      </c>
      <c r="D46" s="237" t="s">
        <v>420</v>
      </c>
      <c r="E46" s="238" t="s">
        <v>421</v>
      </c>
      <c r="F46" s="220">
        <f>DGcalcul!$E$8</f>
        <v>0</v>
      </c>
      <c r="G46" s="218">
        <f>'DGbase données'!E7</f>
        <v>1.9583169000000002E-8</v>
      </c>
      <c r="H46" s="239">
        <f t="shared" si="20"/>
        <v>1.9583169000000002E-8</v>
      </c>
      <c r="I46" s="220">
        <f>DGcalcul!$E$8</f>
        <v>0</v>
      </c>
      <c r="J46" s="240">
        <v>0.5</v>
      </c>
      <c r="K46" s="223">
        <f>DGbaseF2V!P10</f>
        <v>1.2776702000000001E-9</v>
      </c>
      <c r="L46" s="241">
        <f t="shared" si="0"/>
        <v>1.9583169000000002E-8</v>
      </c>
      <c r="M46" s="240">
        <v>0.75</v>
      </c>
      <c r="N46" s="240">
        <v>1</v>
      </c>
      <c r="O46" s="240">
        <f t="shared" si="21"/>
        <v>0.75</v>
      </c>
      <c r="P46" s="225">
        <f t="shared" si="22"/>
        <v>0</v>
      </c>
      <c r="Q46" s="260">
        <f t="shared" si="26"/>
        <v>1.9583169000000002E-8</v>
      </c>
      <c r="R46" s="242">
        <v>0.5</v>
      </c>
      <c r="S46" s="228" t="e">
        <f>IF(DGcalcul!$I$19="yes",VLOOKUP(DGcalcul!$G$3,DGliste!$F$13:$G$19,2,0),HLOOKUP($A$40,'DGbase données'!$B$78:$E$81,3,0))</f>
        <v>#N/A</v>
      </c>
      <c r="T46" s="266">
        <v>7.3692313999999998E-9</v>
      </c>
      <c r="U46" s="241">
        <f t="shared" si="1"/>
        <v>1.9583169000000002E-8</v>
      </c>
      <c r="V46" s="240">
        <v>0.75</v>
      </c>
      <c r="W46" s="240">
        <v>1</v>
      </c>
      <c r="X46" s="240">
        <f t="shared" si="23"/>
        <v>0.75</v>
      </c>
      <c r="Y46" s="243" t="e">
        <f t="shared" si="24"/>
        <v>#N/A</v>
      </c>
      <c r="Z46" s="244">
        <v>0</v>
      </c>
      <c r="AA46" s="228" t="e">
        <f>IF(DGcalcul!$I$19="yes",VLOOKUP(DGcalcul!$G$3,DGliste!$F$13:$G$19,2,0),HLOOKUP($A$40,'DGbase données'!$B$78:$E$81,2,0))</f>
        <v>#N/A</v>
      </c>
      <c r="AB46" s="223">
        <f>DGbaseF2V!N11</f>
        <v>1.7898562999999999E-10</v>
      </c>
      <c r="AC46" s="231">
        <f>HLOOKUP(C46,DGbasecoll!$B$3:$K$4,2,0)</f>
        <v>19.52</v>
      </c>
      <c r="AD46" s="245">
        <v>0.187</v>
      </c>
      <c r="AE46" s="232">
        <f>DGbasevalo!C8</f>
        <v>1.9881795000000001E-10</v>
      </c>
      <c r="AF46" s="245">
        <v>0.08</v>
      </c>
      <c r="AG46" s="231">
        <f>DGbasevalo!D8</f>
        <v>2.6225022999999999E-10</v>
      </c>
      <c r="AH46" s="246" t="e">
        <f t="shared" si="25"/>
        <v>#N/A</v>
      </c>
      <c r="AI46" s="234">
        <f>DGcalcul!$K$25</f>
        <v>0</v>
      </c>
      <c r="AJ46" s="234">
        <f>DGcalcul!$K$24</f>
        <v>0</v>
      </c>
      <c r="AK46" s="235">
        <f>DGbaseF2V!O10</f>
        <v>-2.0773666000000001E-10</v>
      </c>
      <c r="AL46" s="247">
        <f t="shared" si="8"/>
        <v>-2.0773666000000001E-10</v>
      </c>
    </row>
    <row r="47" spans="1:38" s="241" customFormat="1" outlineLevel="1" x14ac:dyDescent="0.3">
      <c r="A47" s="216" t="s">
        <v>404</v>
      </c>
      <c r="B47" s="217" t="str">
        <f>DGcalcul!$E$19</f>
        <v>Mixed or Unknown collection</v>
      </c>
      <c r="C47" s="217" t="str">
        <f t="shared" si="13"/>
        <v>LDPE Mixed or Unknown collection</v>
      </c>
      <c r="D47" s="237" t="s">
        <v>422</v>
      </c>
      <c r="E47" s="238" t="s">
        <v>421</v>
      </c>
      <c r="F47" s="220">
        <f>DGcalcul!$E$8</f>
        <v>0</v>
      </c>
      <c r="G47" s="218">
        <f>'DGbase données'!E8</f>
        <v>7.3297005000000002E-10</v>
      </c>
      <c r="H47" s="239">
        <f t="shared" si="20"/>
        <v>7.3297005000000002E-10</v>
      </c>
      <c r="I47" s="220">
        <f>DGcalcul!$E$8</f>
        <v>0</v>
      </c>
      <c r="J47" s="240">
        <v>0.5</v>
      </c>
      <c r="K47" s="223">
        <f>DGbaseF2V!P11</f>
        <v>4.5129861999999999E-10</v>
      </c>
      <c r="L47" s="241">
        <f t="shared" si="0"/>
        <v>7.3297005000000002E-10</v>
      </c>
      <c r="M47" s="240">
        <v>0.75</v>
      </c>
      <c r="N47" s="240">
        <v>1</v>
      </c>
      <c r="O47" s="240">
        <f t="shared" si="21"/>
        <v>0.75</v>
      </c>
      <c r="P47" s="225">
        <f t="shared" si="22"/>
        <v>0</v>
      </c>
      <c r="Q47" s="260">
        <f t="shared" si="26"/>
        <v>7.3297005000000002E-10</v>
      </c>
      <c r="R47" s="242">
        <v>0.5</v>
      </c>
      <c r="S47" s="228" t="e">
        <f>IF(DGcalcul!$I$19="yes",VLOOKUP(DGcalcul!$G$3,DGliste!$F$13:$G$19,2,0),HLOOKUP($A$40,'DGbase données'!$B$78:$E$81,3,0))</f>
        <v>#N/A</v>
      </c>
      <c r="T47" s="266">
        <v>3.7918162000000001E-10</v>
      </c>
      <c r="U47" s="241">
        <f t="shared" si="1"/>
        <v>7.3297005000000002E-10</v>
      </c>
      <c r="V47" s="240">
        <v>0.75</v>
      </c>
      <c r="W47" s="240">
        <v>1</v>
      </c>
      <c r="X47" s="240">
        <f t="shared" si="23"/>
        <v>0.75</v>
      </c>
      <c r="Y47" s="243" t="e">
        <f t="shared" si="24"/>
        <v>#N/A</v>
      </c>
      <c r="Z47" s="244">
        <v>0</v>
      </c>
      <c r="AA47" s="228" t="e">
        <f>IF(DGcalcul!$I$19="yes",VLOOKUP(DGcalcul!$G$3,DGliste!$F$13:$G$19,2,0),HLOOKUP($A$40,'DGbase données'!$B$78:$E$81,2,0))</f>
        <v>#N/A</v>
      </c>
      <c r="AB47" s="223">
        <f>DGbaseF2V!N12</f>
        <v>1.5203964E-2</v>
      </c>
      <c r="AC47" s="231">
        <f>HLOOKUP(C47,DGbasecoll!$B$3:$K$4,2,0)</f>
        <v>19.52</v>
      </c>
      <c r="AD47" s="245">
        <v>0.187</v>
      </c>
      <c r="AE47" s="232">
        <f>DGbasevalo!C9</f>
        <v>1.5634214999999999E-11</v>
      </c>
      <c r="AF47" s="245">
        <v>0.08</v>
      </c>
      <c r="AG47" s="231">
        <f>DGbasevalo!D9</f>
        <v>1.3494008E-11</v>
      </c>
      <c r="AH47" s="246" t="e">
        <f t="shared" si="25"/>
        <v>#N/A</v>
      </c>
      <c r="AI47" s="234">
        <f>DGcalcul!$K$25</f>
        <v>0</v>
      </c>
      <c r="AJ47" s="234">
        <f>DGcalcul!$K$24</f>
        <v>0</v>
      </c>
      <c r="AK47" s="235">
        <f>DGbaseF2V!O11</f>
        <v>-1.9487869E-11</v>
      </c>
      <c r="AL47" s="247">
        <f t="shared" si="8"/>
        <v>-1.9487869E-11</v>
      </c>
    </row>
    <row r="48" spans="1:38" s="241" customFormat="1" outlineLevel="1" x14ac:dyDescent="0.3">
      <c r="A48" s="216" t="s">
        <v>404</v>
      </c>
      <c r="B48" s="217" t="str">
        <f>DGcalcul!$E$19</f>
        <v>Mixed or Unknown collection</v>
      </c>
      <c r="C48" s="217" t="str">
        <f t="shared" si="13"/>
        <v>LDPE Mixed or Unknown collection</v>
      </c>
      <c r="D48" s="237" t="s">
        <v>330</v>
      </c>
      <c r="E48" s="238" t="s">
        <v>344</v>
      </c>
      <c r="F48" s="220">
        <f>DGcalcul!$E$8</f>
        <v>0</v>
      </c>
      <c r="G48" s="218">
        <f>'DGbase données'!E9</f>
        <v>1.0766255000000001E-2</v>
      </c>
      <c r="H48" s="239">
        <f t="shared" si="20"/>
        <v>1.0766255000000001E-2</v>
      </c>
      <c r="I48" s="220">
        <f>DGcalcul!$E$8</f>
        <v>0</v>
      </c>
      <c r="J48" s="240">
        <v>0.5</v>
      </c>
      <c r="K48" s="223">
        <f>DGbaseF2V!P12</f>
        <v>7.9813189000000001E-4</v>
      </c>
      <c r="L48" s="241">
        <f t="shared" si="0"/>
        <v>1.0766255000000001E-2</v>
      </c>
      <c r="M48" s="240">
        <v>0.75</v>
      </c>
      <c r="N48" s="240">
        <v>1</v>
      </c>
      <c r="O48" s="240">
        <f t="shared" si="21"/>
        <v>0.75</v>
      </c>
      <c r="P48" s="225">
        <f t="shared" si="22"/>
        <v>0</v>
      </c>
      <c r="Q48" s="260">
        <f t="shared" si="26"/>
        <v>1.0766255000000001E-2</v>
      </c>
      <c r="R48" s="242">
        <v>0.5</v>
      </c>
      <c r="S48" s="228" t="e">
        <f>IF(DGcalcul!$I$19="yes",VLOOKUP(DGcalcul!$G$3,DGliste!$F$13:$G$19,2,0),HLOOKUP($A$40,'DGbase données'!$B$78:$E$81,3,0))</f>
        <v>#N/A</v>
      </c>
      <c r="T48" s="266">
        <v>3.0411610000000001E-3</v>
      </c>
      <c r="U48" s="241">
        <f t="shared" si="1"/>
        <v>1.0766255000000001E-2</v>
      </c>
      <c r="V48" s="240">
        <v>0.75</v>
      </c>
      <c r="W48" s="240">
        <v>1</v>
      </c>
      <c r="X48" s="240">
        <f t="shared" si="23"/>
        <v>0.75</v>
      </c>
      <c r="Y48" s="243" t="e">
        <f t="shared" si="24"/>
        <v>#N/A</v>
      </c>
      <c r="Z48" s="244">
        <v>0</v>
      </c>
      <c r="AA48" s="228" t="e">
        <f>IF(DGcalcul!$I$19="yes",VLOOKUP(DGcalcul!$G$3,DGliste!$F$13:$G$19,2,0),HLOOKUP($A$40,'DGbase données'!$B$78:$E$81,2,0))</f>
        <v>#N/A</v>
      </c>
      <c r="AB48" s="223">
        <f>DGbaseF2V!N13</f>
        <v>3.7257835000000002E-7</v>
      </c>
      <c r="AC48" s="231">
        <f>HLOOKUP(C48,DGbasecoll!$B$3:$K$4,2,0)</f>
        <v>19.52</v>
      </c>
      <c r="AD48" s="245">
        <v>0.187</v>
      </c>
      <c r="AE48" s="232">
        <f>DGbasevalo!C10</f>
        <v>8.942492E-5</v>
      </c>
      <c r="AF48" s="245">
        <v>0.08</v>
      </c>
      <c r="AG48" s="231">
        <f>DGbasevalo!D10</f>
        <v>1.0822637E-4</v>
      </c>
      <c r="AH48" s="246" t="e">
        <f t="shared" si="25"/>
        <v>#N/A</v>
      </c>
      <c r="AI48" s="234">
        <f>DGcalcul!$K$25</f>
        <v>0</v>
      </c>
      <c r="AJ48" s="234">
        <f>DGcalcul!$K$24</f>
        <v>0</v>
      </c>
      <c r="AK48" s="235">
        <f>DGbaseF2V!O12</f>
        <v>-2.8440295E-4</v>
      </c>
      <c r="AL48" s="247">
        <f t="shared" si="8"/>
        <v>-2.8440295E-4</v>
      </c>
    </row>
    <row r="49" spans="1:38" s="241" customFormat="1" outlineLevel="1" x14ac:dyDescent="0.3">
      <c r="A49" s="216" t="s">
        <v>404</v>
      </c>
      <c r="B49" s="217" t="str">
        <f>DGcalcul!$E$19</f>
        <v>Mixed or Unknown collection</v>
      </c>
      <c r="C49" s="217" t="str">
        <f t="shared" si="13"/>
        <v>LDPE Mixed or Unknown collection</v>
      </c>
      <c r="D49" s="237" t="s">
        <v>331</v>
      </c>
      <c r="E49" s="238" t="s">
        <v>345</v>
      </c>
      <c r="F49" s="220">
        <f>DGcalcul!$E$8</f>
        <v>0</v>
      </c>
      <c r="G49" s="218">
        <f>'DGbase données'!E10</f>
        <v>5.4658148000000001E-4</v>
      </c>
      <c r="H49" s="239">
        <f t="shared" si="20"/>
        <v>5.4658148000000001E-4</v>
      </c>
      <c r="I49" s="220">
        <f>DGcalcul!$E$8</f>
        <v>0</v>
      </c>
      <c r="J49" s="240">
        <v>0.5</v>
      </c>
      <c r="K49" s="223">
        <f>DGbaseF2V!P13</f>
        <v>1.2932781999999999E-4</v>
      </c>
      <c r="L49" s="241">
        <f t="shared" si="0"/>
        <v>5.4658148000000001E-4</v>
      </c>
      <c r="M49" s="240">
        <v>0.75</v>
      </c>
      <c r="N49" s="240">
        <v>1</v>
      </c>
      <c r="O49" s="240">
        <f t="shared" si="21"/>
        <v>0.75</v>
      </c>
      <c r="P49" s="225">
        <f t="shared" si="22"/>
        <v>0</v>
      </c>
      <c r="Q49" s="260">
        <f t="shared" si="26"/>
        <v>5.4658148000000001E-4</v>
      </c>
      <c r="R49" s="242">
        <v>0.5</v>
      </c>
      <c r="S49" s="228" t="e">
        <f>IF(DGcalcul!$I$19="yes",VLOOKUP(DGcalcul!$G$3,DGliste!$F$13:$G$19,2,0),HLOOKUP($A$40,'DGbase données'!$B$78:$E$81,3,0))</f>
        <v>#N/A</v>
      </c>
      <c r="T49" s="266">
        <v>1.5271999999999999E-4</v>
      </c>
      <c r="U49" s="241">
        <f t="shared" si="1"/>
        <v>5.4658148000000001E-4</v>
      </c>
      <c r="V49" s="240">
        <v>0.75</v>
      </c>
      <c r="W49" s="240">
        <v>1</v>
      </c>
      <c r="X49" s="240">
        <f t="shared" si="23"/>
        <v>0.75</v>
      </c>
      <c r="Y49" s="243" t="e">
        <f t="shared" si="24"/>
        <v>#N/A</v>
      </c>
      <c r="Z49" s="244">
        <v>0</v>
      </c>
      <c r="AA49" s="228" t="e">
        <f>IF(DGcalcul!$I$19="yes",VLOOKUP(DGcalcul!$G$3,DGliste!$F$13:$G$19,2,0),HLOOKUP($A$40,'DGbase données'!$B$78:$E$81,2,0))</f>
        <v>#N/A</v>
      </c>
      <c r="AB49" s="223">
        <f>DGbaseF2V!N14</f>
        <v>1.5383413E-3</v>
      </c>
      <c r="AC49" s="231">
        <f>HLOOKUP(C49,DGbasecoll!$B$3:$K$4,2,0)</f>
        <v>19.52</v>
      </c>
      <c r="AD49" s="245">
        <v>0.187</v>
      </c>
      <c r="AE49" s="232">
        <f>DGbasevalo!C11</f>
        <v>2.5191956000000001E-6</v>
      </c>
      <c r="AF49" s="245">
        <v>0.08</v>
      </c>
      <c r="AG49" s="231">
        <f>DGbasevalo!D11</f>
        <v>5.4348756999999998E-6</v>
      </c>
      <c r="AH49" s="246" t="e">
        <f t="shared" si="25"/>
        <v>#N/A</v>
      </c>
      <c r="AI49" s="234">
        <f>DGcalcul!$K$25</f>
        <v>0</v>
      </c>
      <c r="AJ49" s="234">
        <f>DGcalcul!$K$24</f>
        <v>0</v>
      </c>
      <c r="AK49" s="235">
        <f>DGbaseF2V!O13</f>
        <v>-3.3771856999999997E-5</v>
      </c>
      <c r="AL49" s="247">
        <f t="shared" si="8"/>
        <v>-3.3771856999999997E-5</v>
      </c>
    </row>
    <row r="50" spans="1:38" s="241" customFormat="1" outlineLevel="1" x14ac:dyDescent="0.3">
      <c r="A50" s="216" t="s">
        <v>404</v>
      </c>
      <c r="B50" s="217" t="str">
        <f>DGcalcul!$E$19</f>
        <v>Mixed or Unknown collection</v>
      </c>
      <c r="C50" s="217" t="str">
        <f t="shared" si="13"/>
        <v>LDPE Mixed or Unknown collection</v>
      </c>
      <c r="D50" s="237" t="s">
        <v>423</v>
      </c>
      <c r="E50" s="238" t="s">
        <v>424</v>
      </c>
      <c r="F50" s="220">
        <f>DGcalcul!$E$8</f>
        <v>0</v>
      </c>
      <c r="G50" s="218">
        <f>'DGbase données'!E11</f>
        <v>2.1309340000000001E-3</v>
      </c>
      <c r="H50" s="239">
        <f t="shared" si="20"/>
        <v>2.1309340000000001E-3</v>
      </c>
      <c r="I50" s="220">
        <f>DGcalcul!$E$8</f>
        <v>0</v>
      </c>
      <c r="J50" s="240">
        <v>0.5</v>
      </c>
      <c r="K50" s="223">
        <f>DGbaseF2V!P14</f>
        <v>1.4404969E-4</v>
      </c>
      <c r="L50" s="241">
        <f t="shared" si="0"/>
        <v>2.1309340000000001E-3</v>
      </c>
      <c r="M50" s="240">
        <v>0.75</v>
      </c>
      <c r="N50" s="240">
        <v>1</v>
      </c>
      <c r="O50" s="240">
        <f t="shared" si="21"/>
        <v>0.75</v>
      </c>
      <c r="P50" s="225">
        <f t="shared" si="22"/>
        <v>0</v>
      </c>
      <c r="Q50" s="260">
        <f t="shared" si="26"/>
        <v>2.1309340000000001E-3</v>
      </c>
      <c r="R50" s="242">
        <v>0.5</v>
      </c>
      <c r="S50" s="228" t="e">
        <f>IF(DGcalcul!$I$19="yes",VLOOKUP(DGcalcul!$G$3,DGliste!$F$13:$G$19,2,0),HLOOKUP($A$40,'DGbase données'!$B$78:$E$81,3,0))</f>
        <v>#N/A</v>
      </c>
      <c r="T50" s="266">
        <v>8.0216415999999997E-4</v>
      </c>
      <c r="U50" s="241">
        <f t="shared" si="1"/>
        <v>2.1309340000000001E-3</v>
      </c>
      <c r="V50" s="240">
        <v>0.75</v>
      </c>
      <c r="W50" s="240">
        <v>1</v>
      </c>
      <c r="X50" s="240">
        <f t="shared" si="23"/>
        <v>0.75</v>
      </c>
      <c r="Y50" s="243" t="e">
        <f t="shared" si="24"/>
        <v>#N/A</v>
      </c>
      <c r="Z50" s="244">
        <v>0</v>
      </c>
      <c r="AA50" s="228" t="e">
        <f>IF(DGcalcul!$I$19="yes",VLOOKUP(DGcalcul!$G$3,DGliste!$F$13:$G$19,2,0),HLOOKUP($A$40,'DGbase données'!$B$78:$E$81,2,0))</f>
        <v>#N/A</v>
      </c>
      <c r="AB50" s="223">
        <f>DGbaseF2V!N15</f>
        <v>1.5909374E-2</v>
      </c>
      <c r="AC50" s="231">
        <f>HLOOKUP(C50,DGbasecoll!$B$3:$K$4,2,0)</f>
        <v>19.52</v>
      </c>
      <c r="AD50" s="245">
        <v>0.187</v>
      </c>
      <c r="AE50" s="232">
        <f>DGbasevalo!C12</f>
        <v>1.6508956E-5</v>
      </c>
      <c r="AF50" s="245">
        <v>0.08</v>
      </c>
      <c r="AG50" s="231">
        <f>DGbasevalo!D12</f>
        <v>2.8546766999999999E-5</v>
      </c>
      <c r="AH50" s="246" t="e">
        <f t="shared" si="25"/>
        <v>#N/A</v>
      </c>
      <c r="AI50" s="234">
        <f>DGcalcul!$K$25</f>
        <v>0</v>
      </c>
      <c r="AJ50" s="234">
        <f>DGcalcul!$K$24</f>
        <v>0</v>
      </c>
      <c r="AK50" s="235">
        <f>DGbaseF2V!O14</f>
        <v>-5.9943874000000003E-5</v>
      </c>
      <c r="AL50" s="247">
        <f t="shared" si="8"/>
        <v>-5.9943874000000003E-5</v>
      </c>
    </row>
    <row r="51" spans="1:38" s="241" customFormat="1" outlineLevel="1" x14ac:dyDescent="0.3">
      <c r="A51" s="216" t="s">
        <v>404</v>
      </c>
      <c r="B51" s="217" t="str">
        <f>DGcalcul!$E$19</f>
        <v>Mixed or Unknown collection</v>
      </c>
      <c r="C51" s="217" t="str">
        <f t="shared" si="13"/>
        <v>LDPE Mixed or Unknown collection</v>
      </c>
      <c r="D51" s="237" t="s">
        <v>425</v>
      </c>
      <c r="E51" s="238" t="s">
        <v>426</v>
      </c>
      <c r="F51" s="220">
        <f>DGcalcul!$E$8</f>
        <v>0</v>
      </c>
      <c r="G51" s="218">
        <f>'DGbase données'!E12</f>
        <v>2.2140303E-2</v>
      </c>
      <c r="H51" s="239">
        <f t="shared" si="20"/>
        <v>2.2140303E-2</v>
      </c>
      <c r="I51" s="220">
        <f>DGcalcul!$E$8</f>
        <v>0</v>
      </c>
      <c r="J51" s="240">
        <v>0.5</v>
      </c>
      <c r="K51" s="223">
        <f>DGbaseF2V!P15</f>
        <v>1.2871429999999999E-3</v>
      </c>
      <c r="L51" s="241">
        <f t="shared" si="0"/>
        <v>2.2140303E-2</v>
      </c>
      <c r="M51" s="240">
        <v>0.75</v>
      </c>
      <c r="N51" s="240">
        <v>1</v>
      </c>
      <c r="O51" s="240">
        <f t="shared" si="21"/>
        <v>0.75</v>
      </c>
      <c r="P51" s="225">
        <f t="shared" si="22"/>
        <v>0</v>
      </c>
      <c r="Q51" s="260">
        <f t="shared" si="26"/>
        <v>2.2140303E-2</v>
      </c>
      <c r="R51" s="242">
        <v>0.5</v>
      </c>
      <c r="S51" s="228" t="e">
        <f>IF(DGcalcul!$I$19="yes",VLOOKUP(DGcalcul!$G$3,DGliste!$F$13:$G$19,2,0),HLOOKUP($A$40,'DGbase données'!$B$78:$E$81,3,0))</f>
        <v>#N/A</v>
      </c>
      <c r="T51" s="266">
        <v>5.9677845999999996E-3</v>
      </c>
      <c r="U51" s="241">
        <f t="shared" si="1"/>
        <v>2.2140303E-2</v>
      </c>
      <c r="V51" s="240">
        <v>0.75</v>
      </c>
      <c r="W51" s="240">
        <v>1</v>
      </c>
      <c r="X51" s="240">
        <f t="shared" si="23"/>
        <v>0.75</v>
      </c>
      <c r="Y51" s="243" t="e">
        <f t="shared" si="24"/>
        <v>#N/A</v>
      </c>
      <c r="Z51" s="244">
        <v>0</v>
      </c>
      <c r="AA51" s="228" t="e">
        <f>IF(DGcalcul!$I$19="yes",VLOOKUP(DGcalcul!$G$3,DGliste!$F$13:$G$19,2,0),HLOOKUP($A$40,'DGbase données'!$B$78:$E$81,2,0))</f>
        <v>#N/A</v>
      </c>
      <c r="AB51" s="223">
        <f>DGbaseF2V!N16</f>
        <v>4.7172385999999999</v>
      </c>
      <c r="AC51" s="231">
        <f>HLOOKUP(C51,DGbasecoll!$B$3:$K$4,2,0)</f>
        <v>19.52</v>
      </c>
      <c r="AD51" s="245">
        <v>0.187</v>
      </c>
      <c r="AE51" s="232">
        <f>DGbasevalo!C13</f>
        <v>1.7353508999999999E-4</v>
      </c>
      <c r="AF51" s="245">
        <v>0.08</v>
      </c>
      <c r="AG51" s="231">
        <f>DGbasevalo!D13</f>
        <v>2.1237668000000001E-4</v>
      </c>
      <c r="AH51" s="246" t="e">
        <f t="shared" si="25"/>
        <v>#N/A</v>
      </c>
      <c r="AI51" s="234">
        <f>DGcalcul!$K$25</f>
        <v>0</v>
      </c>
      <c r="AJ51" s="234">
        <f>DGcalcul!$K$24</f>
        <v>0</v>
      </c>
      <c r="AK51" s="235">
        <f>DGbaseF2V!O15</f>
        <v>-6.5510446999999996E-4</v>
      </c>
      <c r="AL51" s="247">
        <f t="shared" si="8"/>
        <v>-6.5510446999999996E-4</v>
      </c>
    </row>
    <row r="52" spans="1:38" s="241" customFormat="1" outlineLevel="1" x14ac:dyDescent="0.3">
      <c r="A52" s="216" t="s">
        <v>404</v>
      </c>
      <c r="B52" s="217" t="str">
        <f>DGcalcul!$E$19</f>
        <v>Mixed or Unknown collection</v>
      </c>
      <c r="C52" s="217" t="str">
        <f t="shared" si="13"/>
        <v>LDPE Mixed or Unknown collection</v>
      </c>
      <c r="D52" s="237" t="s">
        <v>427</v>
      </c>
      <c r="E52" s="238" t="s">
        <v>428</v>
      </c>
      <c r="F52" s="220">
        <f>DGcalcul!$E$8</f>
        <v>0</v>
      </c>
      <c r="G52" s="218">
        <f>'DGbase données'!E13</f>
        <v>29.189384</v>
      </c>
      <c r="H52" s="239">
        <f t="shared" si="20"/>
        <v>29.189384</v>
      </c>
      <c r="I52" s="220">
        <f>DGcalcul!$E$8</f>
        <v>0</v>
      </c>
      <c r="J52" s="240">
        <v>0.5</v>
      </c>
      <c r="K52" s="223">
        <f>DGbaseF2V!P16</f>
        <v>0.54138684000000004</v>
      </c>
      <c r="L52" s="241">
        <f t="shared" si="0"/>
        <v>29.189384</v>
      </c>
      <c r="M52" s="240">
        <v>0.75</v>
      </c>
      <c r="N52" s="240">
        <v>1</v>
      </c>
      <c r="O52" s="240">
        <f t="shared" si="21"/>
        <v>0.75</v>
      </c>
      <c r="P52" s="225">
        <f t="shared" si="22"/>
        <v>0</v>
      </c>
      <c r="Q52" s="260">
        <f t="shared" si="26"/>
        <v>29.189384</v>
      </c>
      <c r="R52" s="242">
        <v>0.5</v>
      </c>
      <c r="S52" s="228" t="e">
        <f>IF(DGcalcul!$I$19="yes",VLOOKUP(DGcalcul!$G$3,DGliste!$F$13:$G$19,2,0),HLOOKUP($A$40,'DGbase données'!$B$78:$E$81,3,0))</f>
        <v>#N/A</v>
      </c>
      <c r="T52" s="266">
        <v>19.626942</v>
      </c>
      <c r="U52" s="241">
        <f t="shared" si="1"/>
        <v>29.189384</v>
      </c>
      <c r="V52" s="240">
        <v>0.75</v>
      </c>
      <c r="W52" s="240">
        <v>1</v>
      </c>
      <c r="X52" s="240">
        <f t="shared" si="23"/>
        <v>0.75</v>
      </c>
      <c r="Y52" s="243" t="e">
        <f t="shared" si="24"/>
        <v>#N/A</v>
      </c>
      <c r="Z52" s="244">
        <v>0</v>
      </c>
      <c r="AA52" s="228" t="e">
        <f>IF(DGcalcul!$I$19="yes",VLOOKUP(DGcalcul!$G$3,DGliste!$F$13:$G$19,2,0),HLOOKUP($A$40,'DGbase données'!$B$78:$E$81,2,0))</f>
        <v>#N/A</v>
      </c>
      <c r="AB52" s="223">
        <f>DGbaseF2V!N17</f>
        <v>0</v>
      </c>
      <c r="AC52" s="231">
        <f>HLOOKUP(C52,DGbasecoll!$B$3:$K$4,2,0)</f>
        <v>19.52</v>
      </c>
      <c r="AD52" s="245">
        <v>0.187</v>
      </c>
      <c r="AE52" s="232">
        <f>DGbasevalo!C14</f>
        <v>0.42162807000000002</v>
      </c>
      <c r="AF52" s="245">
        <v>0.08</v>
      </c>
      <c r="AG52" s="231">
        <f>DGbasevalo!D14</f>
        <v>0.69846766999999998</v>
      </c>
      <c r="AH52" s="246" t="e">
        <f t="shared" si="25"/>
        <v>#N/A</v>
      </c>
      <c r="AI52" s="234">
        <f>DGcalcul!$K$25</f>
        <v>0</v>
      </c>
      <c r="AJ52" s="234">
        <f>DGcalcul!$K$24</f>
        <v>0</v>
      </c>
      <c r="AK52" s="235">
        <f>DGbaseF2V!O16</f>
        <v>-0.97420434</v>
      </c>
      <c r="AL52" s="247">
        <f t="shared" si="8"/>
        <v>-0.97420434</v>
      </c>
    </row>
    <row r="53" spans="1:38" s="241" customFormat="1" outlineLevel="1" x14ac:dyDescent="0.3">
      <c r="A53" s="216" t="s">
        <v>404</v>
      </c>
      <c r="B53" s="217" t="str">
        <f>DGcalcul!$E$19</f>
        <v>Mixed or Unknown collection</v>
      </c>
      <c r="C53" s="217" t="str">
        <f t="shared" si="13"/>
        <v>LDPE Mixed or Unknown collection</v>
      </c>
      <c r="D53" s="237" t="s">
        <v>429</v>
      </c>
      <c r="E53" s="238" t="s">
        <v>430</v>
      </c>
      <c r="F53" s="220">
        <f>DGcalcul!$E$8</f>
        <v>0</v>
      </c>
      <c r="G53" s="218">
        <f>'DGbase données'!E14</f>
        <v>4.2493300999999999</v>
      </c>
      <c r="H53" s="239">
        <f t="shared" si="20"/>
        <v>4.2493300999999999</v>
      </c>
      <c r="I53" s="220">
        <f>DGcalcul!$E$8</f>
        <v>0</v>
      </c>
      <c r="J53" s="240">
        <v>0.5</v>
      </c>
      <c r="K53" s="223">
        <f>DGbaseF2V!P17</f>
        <v>0.60284764000000002</v>
      </c>
      <c r="L53" s="241">
        <f t="shared" si="0"/>
        <v>4.2493300999999999</v>
      </c>
      <c r="M53" s="240">
        <v>0.75</v>
      </c>
      <c r="N53" s="240">
        <v>1</v>
      </c>
      <c r="O53" s="240">
        <f t="shared" si="21"/>
        <v>0.75</v>
      </c>
      <c r="P53" s="225">
        <f t="shared" si="22"/>
        <v>0</v>
      </c>
      <c r="Q53" s="260">
        <f t="shared" si="26"/>
        <v>4.2493300999999999</v>
      </c>
      <c r="R53" s="242">
        <v>0.5</v>
      </c>
      <c r="S53" s="228" t="e">
        <f>IF(DGcalcul!$I$19="yes",VLOOKUP(DGcalcul!$G$3,DGliste!$F$13:$G$19,2,0),HLOOKUP($A$40,'DGbase données'!$B$78:$E$81,3,0))</f>
        <v>#N/A</v>
      </c>
      <c r="T53" s="266">
        <v>3.0932457000000002</v>
      </c>
      <c r="U53" s="241">
        <f t="shared" si="1"/>
        <v>4.2493300999999999</v>
      </c>
      <c r="V53" s="240">
        <v>0.75</v>
      </c>
      <c r="W53" s="240">
        <v>1</v>
      </c>
      <c r="X53" s="240">
        <f t="shared" si="23"/>
        <v>0.75</v>
      </c>
      <c r="Y53" s="243" t="e">
        <f t="shared" si="24"/>
        <v>#N/A</v>
      </c>
      <c r="Z53" s="244">
        <v>0</v>
      </c>
      <c r="AA53" s="228" t="e">
        <f>IF(DGcalcul!$I$19="yes",VLOOKUP(DGcalcul!$G$3,DGliste!$F$13:$G$19,2,0),HLOOKUP($A$40,'DGbase données'!$B$78:$E$81,2,0))</f>
        <v>#N/A</v>
      </c>
      <c r="AB53" s="223">
        <f>DGbaseF2V!N18</f>
        <v>-0.15971267</v>
      </c>
      <c r="AC53" s="231">
        <f>HLOOKUP(C53,DGbasecoll!$B$3:$K$4,2,0)</f>
        <v>19.52</v>
      </c>
      <c r="AD53" s="245">
        <v>0.187</v>
      </c>
      <c r="AE53" s="232">
        <f>DGbasevalo!C15</f>
        <v>4.2297600999999997E-2</v>
      </c>
      <c r="AF53" s="245">
        <v>0.08</v>
      </c>
      <c r="AG53" s="231">
        <f>DGbasevalo!D15</f>
        <v>0.11007992</v>
      </c>
      <c r="AH53" s="246" t="e">
        <f t="shared" si="25"/>
        <v>#N/A</v>
      </c>
      <c r="AI53" s="234">
        <f>DGcalcul!$K$25</f>
        <v>0</v>
      </c>
      <c r="AJ53" s="234">
        <f>DGcalcul!$K$24</f>
        <v>0</v>
      </c>
      <c r="AK53" s="235">
        <f>DGbaseF2V!O17</f>
        <v>0</v>
      </c>
      <c r="AL53" s="247">
        <f t="shared" si="8"/>
        <v>0</v>
      </c>
    </row>
    <row r="54" spans="1:38" s="241" customFormat="1" outlineLevel="1" x14ac:dyDescent="0.3">
      <c r="A54" s="216" t="s">
        <v>404</v>
      </c>
      <c r="B54" s="217" t="str">
        <f>DGcalcul!$E$19</f>
        <v>Mixed or Unknown collection</v>
      </c>
      <c r="C54" s="217" t="str">
        <f t="shared" si="13"/>
        <v>LDPE Mixed or Unknown collection</v>
      </c>
      <c r="D54" s="237" t="s">
        <v>332</v>
      </c>
      <c r="E54" s="238" t="s">
        <v>431</v>
      </c>
      <c r="F54" s="220">
        <f>DGcalcul!$E$8</f>
        <v>0</v>
      </c>
      <c r="G54" s="218">
        <f>'DGbase données'!E15</f>
        <v>1.4857796000000001</v>
      </c>
      <c r="H54" s="239">
        <f t="shared" si="20"/>
        <v>1.4857796000000001</v>
      </c>
      <c r="I54" s="220">
        <f>DGcalcul!$E$8</f>
        <v>0</v>
      </c>
      <c r="J54" s="240">
        <v>0.5</v>
      </c>
      <c r="K54" s="223">
        <f>DGbaseF2V!P18</f>
        <v>7.3283254000000006E-2</v>
      </c>
      <c r="L54" s="241">
        <f t="shared" si="0"/>
        <v>1.4857796000000001</v>
      </c>
      <c r="M54" s="240">
        <v>0.75</v>
      </c>
      <c r="N54" s="240">
        <v>1</v>
      </c>
      <c r="O54" s="240">
        <f t="shared" si="21"/>
        <v>0.75</v>
      </c>
      <c r="P54" s="225">
        <f t="shared" si="22"/>
        <v>0</v>
      </c>
      <c r="Q54" s="260">
        <f t="shared" si="26"/>
        <v>1.4857796000000001</v>
      </c>
      <c r="R54" s="242">
        <v>0.5</v>
      </c>
      <c r="S54" s="228" t="e">
        <f>IF(DGcalcul!$I$19="yes",VLOOKUP(DGcalcul!$G$3,DGliste!$F$13:$G$19,2,0),HLOOKUP($A$40,'DGbase données'!$B$78:$E$81,3,0))</f>
        <v>#N/A</v>
      </c>
      <c r="T54" s="266">
        <v>0.21382212</v>
      </c>
      <c r="U54" s="241">
        <f t="shared" si="1"/>
        <v>1.4857796000000001</v>
      </c>
      <c r="V54" s="240">
        <v>0.75</v>
      </c>
      <c r="W54" s="240">
        <v>1</v>
      </c>
      <c r="X54" s="240">
        <f t="shared" si="23"/>
        <v>0.75</v>
      </c>
      <c r="Y54" s="243" t="e">
        <f t="shared" si="24"/>
        <v>#N/A</v>
      </c>
      <c r="Z54" s="244">
        <v>0</v>
      </c>
      <c r="AA54" s="228" t="e">
        <f>IF(DGcalcul!$I$19="yes",VLOOKUP(DGcalcul!$G$3,DGliste!$F$13:$G$19,2,0),HLOOKUP($A$40,'DGbase données'!$B$78:$E$81,2,0))</f>
        <v>#N/A</v>
      </c>
      <c r="AB54" s="223">
        <f>DGbaseF2V!N19</f>
        <v>32.439762000000002</v>
      </c>
      <c r="AC54" s="231">
        <f>HLOOKUP(C54,DGbasecoll!$B$3:$K$4,2,0)</f>
        <v>19.52</v>
      </c>
      <c r="AD54" s="245">
        <v>0.187</v>
      </c>
      <c r="AE54" s="232">
        <f>DGbasevalo!C16</f>
        <v>9.3119741999999998E-4</v>
      </c>
      <c r="AF54" s="245">
        <v>0.08</v>
      </c>
      <c r="AG54" s="231">
        <f>DGbasevalo!D16</f>
        <v>7.6093280000000003E-3</v>
      </c>
      <c r="AH54" s="246" t="e">
        <f t="shared" si="25"/>
        <v>#N/A</v>
      </c>
      <c r="AI54" s="234">
        <f>DGcalcul!$K$25</f>
        <v>0</v>
      </c>
      <c r="AJ54" s="234">
        <f>DGcalcul!$K$24</f>
        <v>0</v>
      </c>
      <c r="AK54" s="235">
        <f>DGbaseF2V!O18</f>
        <v>-4.3465658000000004E-3</v>
      </c>
      <c r="AL54" s="247">
        <f t="shared" si="8"/>
        <v>-4.3465658000000004E-3</v>
      </c>
    </row>
    <row r="55" spans="1:38" s="241" customFormat="1" outlineLevel="1" x14ac:dyDescent="0.3">
      <c r="A55" s="216" t="s">
        <v>404</v>
      </c>
      <c r="B55" s="217" t="str">
        <f>DGcalcul!$E$19</f>
        <v>Mixed or Unknown collection</v>
      </c>
      <c r="C55" s="217" t="str">
        <f t="shared" si="13"/>
        <v>LDPE Mixed or Unknown collection</v>
      </c>
      <c r="D55" s="237" t="s">
        <v>432</v>
      </c>
      <c r="E55" s="238" t="s">
        <v>347</v>
      </c>
      <c r="F55" s="220">
        <f>DGcalcul!$E$8</f>
        <v>0</v>
      </c>
      <c r="G55" s="218">
        <f>'DGbase données'!E16</f>
        <v>76.011477999999997</v>
      </c>
      <c r="H55" s="239">
        <f t="shared" si="20"/>
        <v>76.011477999999997</v>
      </c>
      <c r="I55" s="220">
        <f>DGcalcul!$E$8</f>
        <v>0</v>
      </c>
      <c r="J55" s="240">
        <v>0.5</v>
      </c>
      <c r="K55" s="223">
        <f>DGbaseF2V!P19</f>
        <v>2.4700552999999998</v>
      </c>
      <c r="L55" s="241">
        <f t="shared" si="0"/>
        <v>76.011477999999997</v>
      </c>
      <c r="M55" s="240">
        <v>0.75</v>
      </c>
      <c r="N55" s="240">
        <v>1</v>
      </c>
      <c r="O55" s="240">
        <f t="shared" si="21"/>
        <v>0.75</v>
      </c>
      <c r="P55" s="225">
        <f t="shared" si="22"/>
        <v>0</v>
      </c>
      <c r="Q55" s="260">
        <f t="shared" si="26"/>
        <v>76.011477999999997</v>
      </c>
      <c r="R55" s="242">
        <v>0.5</v>
      </c>
      <c r="S55" s="228" t="e">
        <f>IF(DGcalcul!$I$19="yes",VLOOKUP(DGcalcul!$G$3,DGliste!$F$13:$G$19,2,0),HLOOKUP($A$40,'DGbase données'!$B$78:$E$81,3,0))</f>
        <v>#N/A</v>
      </c>
      <c r="T55" s="266">
        <v>90.080584000000002</v>
      </c>
      <c r="U55" s="241">
        <f t="shared" si="1"/>
        <v>76.011477999999997</v>
      </c>
      <c r="V55" s="240">
        <v>0.75</v>
      </c>
      <c r="W55" s="240">
        <v>1</v>
      </c>
      <c r="X55" s="240">
        <f t="shared" si="23"/>
        <v>0.75</v>
      </c>
      <c r="Y55" s="243" t="e">
        <f t="shared" si="24"/>
        <v>#N/A</v>
      </c>
      <c r="Z55" s="244">
        <v>0</v>
      </c>
      <c r="AA55" s="228" t="e">
        <f>IF(DGcalcul!$I$19="yes",VLOOKUP(DGcalcul!$G$3,DGliste!$F$13:$G$19,2,0),HLOOKUP($A$40,'DGbase données'!$B$78:$E$81,2,0))</f>
        <v>#N/A</v>
      </c>
      <c r="AB55" s="223">
        <f>DGbaseF2V!N20</f>
        <v>7.4376084999999994E-8</v>
      </c>
      <c r="AC55" s="231">
        <f>HLOOKUP(C55,DGbasecoll!$B$3:$K$4,2,0)</f>
        <v>19.52</v>
      </c>
      <c r="AD55" s="245">
        <v>0.187</v>
      </c>
      <c r="AE55" s="232">
        <f>DGbasevalo!C17</f>
        <v>1.1585103000000001</v>
      </c>
      <c r="AF55" s="245">
        <v>0.08</v>
      </c>
      <c r="AG55" s="231">
        <f>DGbasevalo!D17</f>
        <v>3.2057147000000001</v>
      </c>
      <c r="AH55" s="246" t="e">
        <f t="shared" si="25"/>
        <v>#N/A</v>
      </c>
      <c r="AI55" s="234">
        <f>DGcalcul!$K$25</f>
        <v>0</v>
      </c>
      <c r="AJ55" s="234">
        <f>DGcalcul!$K$24</f>
        <v>0</v>
      </c>
      <c r="AK55" s="235">
        <f>DGbaseF2V!O19</f>
        <v>-1.1173516999999999</v>
      </c>
      <c r="AL55" s="247">
        <f t="shared" si="8"/>
        <v>-1.1173516999999999</v>
      </c>
    </row>
    <row r="56" spans="1:38" s="248" customFormat="1" outlineLevel="1" x14ac:dyDescent="0.3">
      <c r="A56" s="216" t="s">
        <v>404</v>
      </c>
      <c r="B56" s="217" t="str">
        <f>DGcalcul!$E$19</f>
        <v>Mixed or Unknown collection</v>
      </c>
      <c r="C56" s="217" t="str">
        <f t="shared" si="13"/>
        <v>LDPE Mixed or Unknown collection</v>
      </c>
      <c r="D56" s="248" t="s">
        <v>334</v>
      </c>
      <c r="E56" s="249" t="s">
        <v>348</v>
      </c>
      <c r="F56" s="220">
        <f>DGcalcul!$E$8</f>
        <v>0</v>
      </c>
      <c r="G56" s="218">
        <f>'DGbase données'!E17</f>
        <v>1.4583417999999999E-5</v>
      </c>
      <c r="H56" s="250">
        <f>(1-F56)*G56</f>
        <v>1.4583417999999999E-5</v>
      </c>
      <c r="I56" s="220">
        <f>DGcalcul!$E$8</f>
        <v>0</v>
      </c>
      <c r="J56" s="240">
        <v>0.5</v>
      </c>
      <c r="K56" s="223">
        <f>DGbaseF2V!P20</f>
        <v>3.7907655999999999E-7</v>
      </c>
      <c r="L56" s="248">
        <f t="shared" si="0"/>
        <v>1.4583417999999999E-5</v>
      </c>
      <c r="M56" s="251">
        <v>0.75</v>
      </c>
      <c r="N56" s="251">
        <v>1</v>
      </c>
      <c r="O56" s="251">
        <f t="shared" si="21"/>
        <v>0.75</v>
      </c>
      <c r="P56" s="225">
        <f t="shared" si="22"/>
        <v>0</v>
      </c>
      <c r="Q56" s="260">
        <f t="shared" si="26"/>
        <v>1.4583417999999999E-5</v>
      </c>
      <c r="R56" s="252">
        <v>0.5</v>
      </c>
      <c r="S56" s="228" t="e">
        <f>IF(DGcalcul!$I$19="yes",VLOOKUP(DGcalcul!$G$3,DGliste!$F$13:$G$19,2,0),HLOOKUP($A$40,'DGbase données'!$B$78:$E$81,3,0))</f>
        <v>#N/A</v>
      </c>
      <c r="T56" s="267">
        <v>6.1933311000000002E-6</v>
      </c>
      <c r="U56" s="248">
        <f t="shared" si="1"/>
        <v>1.4583417999999999E-5</v>
      </c>
      <c r="V56" s="251">
        <v>0.75</v>
      </c>
      <c r="W56" s="251">
        <v>1</v>
      </c>
      <c r="X56" s="251">
        <f t="shared" si="23"/>
        <v>0.75</v>
      </c>
      <c r="Y56" s="253" t="e">
        <f t="shared" si="24"/>
        <v>#N/A</v>
      </c>
      <c r="Z56" s="254">
        <v>0</v>
      </c>
      <c r="AA56" s="228" t="e">
        <f>IF(DGcalcul!$I$19="yes",VLOOKUP(DGcalcul!$G$3,DGliste!$F$13:$G$19,2,0),HLOOKUP($A$40,'DGbase données'!$B$78:$E$81,2,0))</f>
        <v>#N/A</v>
      </c>
      <c r="AB56" s="223">
        <f>DGbaseF2V!N21</f>
        <v>0</v>
      </c>
      <c r="AC56" s="231">
        <f>HLOOKUP(C56,DGbasecoll!$B$3:$K$4,2,0)</f>
        <v>19.52</v>
      </c>
      <c r="AD56" s="255">
        <v>0.187</v>
      </c>
      <c r="AE56" s="232">
        <f>DGbasevalo!C18</f>
        <v>9.4112040000000002E-8</v>
      </c>
      <c r="AF56" s="255">
        <v>0.08</v>
      </c>
      <c r="AG56" s="231">
        <f>DGbasevalo!D18</f>
        <v>2.2040323999999999E-7</v>
      </c>
      <c r="AH56" s="256" t="e">
        <f t="shared" si="25"/>
        <v>#N/A</v>
      </c>
      <c r="AI56" s="234">
        <f>DGcalcul!$K$25</f>
        <v>0</v>
      </c>
      <c r="AJ56" s="234">
        <f>DGcalcul!$K$24</f>
        <v>0</v>
      </c>
      <c r="AK56" s="235">
        <f>DGbaseF2V!O20</f>
        <v>-5.4718007000000003E-9</v>
      </c>
      <c r="AL56" s="257">
        <f t="shared" si="8"/>
        <v>-5.4718007000000003E-9</v>
      </c>
    </row>
    <row r="57" spans="1:38" s="215" customFormat="1" ht="18" x14ac:dyDescent="0.35">
      <c r="A57" s="201" t="s">
        <v>196</v>
      </c>
      <c r="B57" s="202"/>
      <c r="C57" s="350"/>
      <c r="D57" s="203"/>
      <c r="E57" s="203"/>
      <c r="F57" s="204"/>
      <c r="G57" s="203"/>
      <c r="H57" s="205"/>
      <c r="I57" s="203"/>
      <c r="J57" s="203"/>
      <c r="K57" s="203"/>
      <c r="L57" s="203"/>
      <c r="M57" s="203"/>
      <c r="N57" s="203"/>
      <c r="O57" s="203"/>
      <c r="P57" s="205"/>
      <c r="Q57" s="205"/>
      <c r="R57" s="203"/>
      <c r="S57" s="206"/>
      <c r="T57" s="203"/>
      <c r="U57" s="203"/>
      <c r="V57" s="203"/>
      <c r="W57" s="203"/>
      <c r="X57" s="203"/>
      <c r="Y57" s="207"/>
      <c r="Z57" s="208"/>
      <c r="AA57" s="209"/>
      <c r="AB57" s="203"/>
      <c r="AC57" s="203"/>
      <c r="AD57" s="203"/>
      <c r="AE57" s="203"/>
      <c r="AF57" s="203"/>
      <c r="AG57" s="203"/>
      <c r="AH57" s="210"/>
      <c r="AI57" s="211"/>
      <c r="AJ57" s="212"/>
      <c r="AK57" s="213"/>
      <c r="AL57" s="214"/>
    </row>
    <row r="58" spans="1:38" s="224" customFormat="1" outlineLevel="1" x14ac:dyDescent="0.3">
      <c r="A58" s="216" t="s">
        <v>196</v>
      </c>
      <c r="B58" s="217" t="str">
        <f>DGcalcul!$E$19</f>
        <v>Mixed or Unknown collection</v>
      </c>
      <c r="C58" s="217" t="str">
        <f t="shared" si="13"/>
        <v>PET Mixed or Unknown collection</v>
      </c>
      <c r="D58" s="218" t="s">
        <v>327</v>
      </c>
      <c r="E58" s="219" t="s">
        <v>336</v>
      </c>
      <c r="F58" s="220">
        <f>DGcalcul!$E$8</f>
        <v>0</v>
      </c>
      <c r="G58" s="218">
        <f>'DGbase données'!F2</f>
        <v>3.2109008000000001</v>
      </c>
      <c r="H58" s="221">
        <f t="shared" ref="H58:H73" si="27">(1-F58)*G58</f>
        <v>3.2109008000000001</v>
      </c>
      <c r="I58" s="220">
        <f>DGcalcul!$E$8</f>
        <v>0</v>
      </c>
      <c r="J58" s="222">
        <v>0.5</v>
      </c>
      <c r="K58" s="224">
        <f>DGbaseF2V!K5</f>
        <v>0.42751919999999999</v>
      </c>
      <c r="L58" s="224">
        <f t="shared" si="0"/>
        <v>3.2109008000000001</v>
      </c>
      <c r="M58" s="222">
        <v>0.9</v>
      </c>
      <c r="N58" s="222">
        <v>1</v>
      </c>
      <c r="O58" s="222">
        <f>M58/N58</f>
        <v>0.9</v>
      </c>
      <c r="P58" s="225">
        <f>I58*(J58*K58+(1-J58)*L58*O58)</f>
        <v>0</v>
      </c>
      <c r="Q58" s="258">
        <f>H58+P58</f>
        <v>3.2109008000000001</v>
      </c>
      <c r="R58" s="227">
        <v>0.5</v>
      </c>
      <c r="S58" s="228" t="e">
        <f>IF(DGcalcul!$I$19="yes",VLOOKUP(DGcalcul!$G$3,DGliste!$F$13:$G$19,2,0),HLOOKUP($A$57,'DGbase données'!$B$78:$E$81,3,0))</f>
        <v>#N/A</v>
      </c>
      <c r="T58" s="224">
        <v>0.65754840000000003</v>
      </c>
      <c r="U58" s="224">
        <f t="shared" si="1"/>
        <v>3.2109008000000001</v>
      </c>
      <c r="V58" s="222">
        <v>0.9</v>
      </c>
      <c r="W58" s="222">
        <v>1</v>
      </c>
      <c r="X58" s="222">
        <f>V58/W58</f>
        <v>0.9</v>
      </c>
      <c r="Y58" s="229" t="e">
        <f>(1-R58)*S58*(T58-U58*X58)</f>
        <v>#N/A</v>
      </c>
      <c r="Z58" s="230">
        <v>0</v>
      </c>
      <c r="AA58" s="228" t="e">
        <f>IF(DGcalcul!$I$19="yes",VLOOKUP(DGcalcul!$G$3,DGliste!$F$13:$G$19,2,0),HLOOKUP($A$57,'DGbase données'!$B$78:$E$81,2,0))</f>
        <v>#N/A</v>
      </c>
      <c r="AB58" s="224">
        <f>DGbaseF2V!I5</f>
        <v>-0.86572464999999998</v>
      </c>
      <c r="AC58" s="231">
        <f>HLOOKUP(C58,DGbasecoll!$B$3:$K$4,2,0)</f>
        <v>19.52</v>
      </c>
      <c r="AD58" s="228">
        <v>0.187</v>
      </c>
      <c r="AE58" s="232">
        <f>DGbasevalo!C3</f>
        <v>7.7330222000000004E-2</v>
      </c>
      <c r="AF58" s="228">
        <v>0.08</v>
      </c>
      <c r="AG58" s="231">
        <f>DGbasevalo!D3</f>
        <v>2.2289777E-2</v>
      </c>
      <c r="AH58" s="233" t="e">
        <f>(1-Z58)*AA58*(AB58-AC58*AD58*AE58-AC58*AF58*AG58)</f>
        <v>#N/A</v>
      </c>
      <c r="AI58" s="234">
        <f>DGcalcul!$K$25</f>
        <v>0</v>
      </c>
      <c r="AJ58" s="234">
        <f>DGcalcul!$K$24</f>
        <v>0</v>
      </c>
      <c r="AK58" s="235">
        <f>DGbaseF2V!J5</f>
        <v>-7.1919412000000002E-2</v>
      </c>
      <c r="AL58" s="236">
        <f t="shared" si="8"/>
        <v>-7.1919412000000002E-2</v>
      </c>
    </row>
    <row r="59" spans="1:38" s="241" customFormat="1" outlineLevel="1" x14ac:dyDescent="0.3">
      <c r="A59" s="259" t="s">
        <v>196</v>
      </c>
      <c r="B59" s="217" t="str">
        <f>DGcalcul!$E$19</f>
        <v>Mixed or Unknown collection</v>
      </c>
      <c r="C59" s="217" t="str">
        <f t="shared" si="13"/>
        <v>PET Mixed or Unknown collection</v>
      </c>
      <c r="D59" s="237" t="s">
        <v>416</v>
      </c>
      <c r="E59" s="238" t="s">
        <v>417</v>
      </c>
      <c r="F59" s="220">
        <f>DGcalcul!$E$8</f>
        <v>0</v>
      </c>
      <c r="G59" s="218">
        <f>'DGbase données'!F3</f>
        <v>1.5174863E-5</v>
      </c>
      <c r="H59" s="239">
        <f t="shared" si="27"/>
        <v>1.5174863E-5</v>
      </c>
      <c r="I59" s="220">
        <f>DGcalcul!$E$8</f>
        <v>0</v>
      </c>
      <c r="J59" s="240">
        <v>0.5</v>
      </c>
      <c r="K59" s="224">
        <f>DGbaseF2V!K6</f>
        <v>1.3179058E-8</v>
      </c>
      <c r="L59" s="241">
        <f t="shared" si="0"/>
        <v>1.5174863E-5</v>
      </c>
      <c r="M59" s="240">
        <v>0.9</v>
      </c>
      <c r="N59" s="240">
        <v>1</v>
      </c>
      <c r="O59" s="240">
        <f t="shared" ref="O59:O73" si="28">M59/N59</f>
        <v>0.9</v>
      </c>
      <c r="P59" s="225">
        <f t="shared" ref="P59:P73" si="29">I59*(J59*K59+(1-J59)*L59*O59)</f>
        <v>0</v>
      </c>
      <c r="Q59" s="260">
        <f>H59+P59</f>
        <v>1.5174863E-5</v>
      </c>
      <c r="R59" s="242">
        <v>0.5</v>
      </c>
      <c r="S59" s="228" t="e">
        <f>IF(DGcalcul!$I$19="yes",VLOOKUP(DGcalcul!$G$3,DGliste!$F$13:$G$19,2,0),HLOOKUP($A$57,'DGbase données'!$B$78:$E$81,3,0))</f>
        <v>#N/A</v>
      </c>
      <c r="T59" s="241">
        <v>6.9068682999999996E-8</v>
      </c>
      <c r="U59" s="241">
        <f t="shared" si="1"/>
        <v>1.5174863E-5</v>
      </c>
      <c r="V59" s="240">
        <v>0.9</v>
      </c>
      <c r="W59" s="240">
        <v>1</v>
      </c>
      <c r="X59" s="240">
        <f t="shared" ref="X59:X73" si="30">V59/W59</f>
        <v>0.9</v>
      </c>
      <c r="Y59" s="243" t="e">
        <f t="shared" ref="Y59:Y73" si="31">(1-R59)*S59*(T59-U59*X59)</f>
        <v>#N/A</v>
      </c>
      <c r="Z59" s="244">
        <v>0</v>
      </c>
      <c r="AA59" s="228" t="e">
        <f>IF(DGcalcul!$I$19="yes",VLOOKUP(DGcalcul!$G$3,DGliste!$F$13:$G$19,2,0),HLOOKUP($A$57,'DGbase données'!$B$78:$E$81,2,0))</f>
        <v>#N/A</v>
      </c>
      <c r="AB59" s="224">
        <f>DGbaseF2V!I6</f>
        <v>1.6045051000000001E-7</v>
      </c>
      <c r="AC59" s="231">
        <f>HLOOKUP(C59,DGbasecoll!$B$3:$K$4,2,0)</f>
        <v>19.52</v>
      </c>
      <c r="AD59" s="245">
        <v>0.187</v>
      </c>
      <c r="AE59" s="232">
        <f>DGbasevalo!C4</f>
        <v>8.0992136000000005E-9</v>
      </c>
      <c r="AF59" s="245">
        <v>0.08</v>
      </c>
      <c r="AG59" s="231">
        <f>DGbasevalo!D4</f>
        <v>2.3413113000000001E-9</v>
      </c>
      <c r="AH59" s="246" t="e">
        <f t="shared" ref="AH59:AH73" si="32">(1-Z59)*AA59*(AB59-AC59*AD59*AE59-AC59*AF59*AG59)</f>
        <v>#N/A</v>
      </c>
      <c r="AI59" s="234">
        <f>DGcalcul!$K$25</f>
        <v>0</v>
      </c>
      <c r="AJ59" s="234">
        <f>DGcalcul!$K$24</f>
        <v>0</v>
      </c>
      <c r="AK59" s="235">
        <f>DGbaseF2V!J6</f>
        <v>-2.2703682000000001E-9</v>
      </c>
      <c r="AL59" s="247">
        <f t="shared" si="8"/>
        <v>-2.2703682000000001E-9</v>
      </c>
    </row>
    <row r="60" spans="1:38" s="241" customFormat="1" outlineLevel="1" x14ac:dyDescent="0.3">
      <c r="A60" s="259" t="s">
        <v>196</v>
      </c>
      <c r="B60" s="217" t="str">
        <f>DGcalcul!$E$19</f>
        <v>Mixed or Unknown collection</v>
      </c>
      <c r="C60" s="217" t="str">
        <f t="shared" si="13"/>
        <v>PET Mixed or Unknown collection</v>
      </c>
      <c r="D60" s="237" t="s">
        <v>418</v>
      </c>
      <c r="E60" s="238" t="s">
        <v>419</v>
      </c>
      <c r="F60" s="220">
        <f>DGcalcul!$E$8</f>
        <v>0</v>
      </c>
      <c r="G60" s="218">
        <f>'DGbase données'!F4</f>
        <v>0.15832610999999999</v>
      </c>
      <c r="H60" s="239">
        <f t="shared" si="27"/>
        <v>0.15832610999999999</v>
      </c>
      <c r="I60" s="220">
        <f>DGcalcul!$E$8</f>
        <v>0</v>
      </c>
      <c r="J60" s="240">
        <v>0.5</v>
      </c>
      <c r="K60" s="224">
        <f>DGbaseF2V!K7</f>
        <v>0.15054982</v>
      </c>
      <c r="L60" s="241">
        <f t="shared" si="0"/>
        <v>0.15832610999999999</v>
      </c>
      <c r="M60" s="240">
        <v>0.9</v>
      </c>
      <c r="N60" s="240">
        <v>1</v>
      </c>
      <c r="O60" s="240">
        <f t="shared" si="28"/>
        <v>0.9</v>
      </c>
      <c r="P60" s="225">
        <f t="shared" si="29"/>
        <v>0</v>
      </c>
      <c r="Q60" s="260">
        <f t="shared" ref="Q60:Q73" si="33">H60+P60</f>
        <v>0.15832610999999999</v>
      </c>
      <c r="R60" s="242">
        <v>0.5</v>
      </c>
      <c r="S60" s="228" t="e">
        <f>IF(DGcalcul!$I$19="yes",VLOOKUP(DGcalcul!$G$3,DGliste!$F$13:$G$19,2,0),HLOOKUP($A$57,'DGbase données'!$B$78:$E$81,3,0))</f>
        <v>#N/A</v>
      </c>
      <c r="T60" s="241">
        <v>4.3430797999999999</v>
      </c>
      <c r="U60" s="241">
        <f t="shared" si="1"/>
        <v>0.15832610999999999</v>
      </c>
      <c r="V60" s="240">
        <v>0.9</v>
      </c>
      <c r="W60" s="240">
        <v>1</v>
      </c>
      <c r="X60" s="240">
        <f t="shared" si="30"/>
        <v>0.9</v>
      </c>
      <c r="Y60" s="243" t="e">
        <f t="shared" si="31"/>
        <v>#N/A</v>
      </c>
      <c r="Z60" s="244">
        <v>0</v>
      </c>
      <c r="AA60" s="228" t="e">
        <f>IF(DGcalcul!$I$19="yes",VLOOKUP(DGcalcul!$G$3,DGliste!$F$13:$G$19,2,0),HLOOKUP($A$57,'DGbase données'!$B$78:$E$81,2,0))</f>
        <v>#N/A</v>
      </c>
      <c r="AB60" s="224">
        <f>DGbaseF2V!I7</f>
        <v>0.25370590999999998</v>
      </c>
      <c r="AC60" s="231">
        <f>HLOOKUP(C60,DGbasecoll!$B$3:$K$4,2,0)</f>
        <v>19.52</v>
      </c>
      <c r="AD60" s="245">
        <v>0.187</v>
      </c>
      <c r="AE60" s="232">
        <f>DGbasevalo!C5</f>
        <v>1.1716807000000001E-3</v>
      </c>
      <c r="AF60" s="245">
        <v>0.08</v>
      </c>
      <c r="AG60" s="231">
        <f>DGbasevalo!D5</f>
        <v>0.14722304</v>
      </c>
      <c r="AH60" s="246" t="e">
        <f t="shared" si="32"/>
        <v>#N/A</v>
      </c>
      <c r="AI60" s="234">
        <f>DGcalcul!$K$25</f>
        <v>0</v>
      </c>
      <c r="AJ60" s="234">
        <f>DGcalcul!$K$24</f>
        <v>0</v>
      </c>
      <c r="AK60" s="235">
        <f>DGbaseF2V!J7</f>
        <v>-3.5874136E-3</v>
      </c>
      <c r="AL60" s="247">
        <f t="shared" si="8"/>
        <v>-3.5874136E-3</v>
      </c>
    </row>
    <row r="61" spans="1:38" s="241" customFormat="1" outlineLevel="1" x14ac:dyDescent="0.3">
      <c r="A61" s="259" t="s">
        <v>196</v>
      </c>
      <c r="B61" s="217" t="str">
        <f>DGcalcul!$E$19</f>
        <v>Mixed or Unknown collection</v>
      </c>
      <c r="C61" s="217" t="str">
        <f t="shared" si="13"/>
        <v>PET Mixed or Unknown collection</v>
      </c>
      <c r="D61" s="237" t="s">
        <v>328</v>
      </c>
      <c r="E61" s="238" t="s">
        <v>342</v>
      </c>
      <c r="F61" s="220">
        <f>DGcalcul!$E$8</f>
        <v>0</v>
      </c>
      <c r="G61" s="218">
        <f>'DGbase données'!F5</f>
        <v>9.9837717999999992E-3</v>
      </c>
      <c r="H61" s="239">
        <f t="shared" si="27"/>
        <v>9.9837717999999992E-3</v>
      </c>
      <c r="I61" s="220">
        <f>DGcalcul!$E$8</f>
        <v>0</v>
      </c>
      <c r="J61" s="240">
        <v>0.5</v>
      </c>
      <c r="K61" s="224">
        <f>DGbaseF2V!K8</f>
        <v>1.0398085000000001E-3</v>
      </c>
      <c r="L61" s="241">
        <f t="shared" si="0"/>
        <v>9.9837717999999992E-3</v>
      </c>
      <c r="M61" s="240">
        <v>0.9</v>
      </c>
      <c r="N61" s="240">
        <v>1</v>
      </c>
      <c r="O61" s="240">
        <f t="shared" si="28"/>
        <v>0.9</v>
      </c>
      <c r="P61" s="225">
        <f t="shared" si="29"/>
        <v>0</v>
      </c>
      <c r="Q61" s="260">
        <f t="shared" si="33"/>
        <v>9.9837717999999992E-3</v>
      </c>
      <c r="R61" s="242">
        <v>0.5</v>
      </c>
      <c r="S61" s="228" t="e">
        <f>IF(DGcalcul!$I$19="yes",VLOOKUP(DGcalcul!$G$3,DGliste!$F$13:$G$19,2,0),HLOOKUP($A$57,'DGbase données'!$B$78:$E$81,3,0))</f>
        <v>#N/A</v>
      </c>
      <c r="T61" s="241">
        <v>1.7132369E-3</v>
      </c>
      <c r="U61" s="241">
        <f t="shared" si="1"/>
        <v>9.9837717999999992E-3</v>
      </c>
      <c r="V61" s="240">
        <v>0.9</v>
      </c>
      <c r="W61" s="240">
        <v>1</v>
      </c>
      <c r="X61" s="240">
        <f t="shared" si="30"/>
        <v>0.9</v>
      </c>
      <c r="Y61" s="243" t="e">
        <f t="shared" si="31"/>
        <v>#N/A</v>
      </c>
      <c r="Z61" s="244">
        <v>0</v>
      </c>
      <c r="AA61" s="228" t="e">
        <f>IF(DGcalcul!$I$19="yes",VLOOKUP(DGcalcul!$G$3,DGliste!$F$13:$G$19,2,0),HLOOKUP($A$57,'DGbase données'!$B$78:$E$81,2,0))</f>
        <v>#N/A</v>
      </c>
      <c r="AB61" s="224">
        <f>DGbaseF2V!I8</f>
        <v>4.8975648000000004E-3</v>
      </c>
      <c r="AC61" s="231">
        <f>HLOOKUP(C61,DGbasecoll!$B$3:$K$4,2,0)</f>
        <v>19.52</v>
      </c>
      <c r="AD61" s="245">
        <v>0.187</v>
      </c>
      <c r="AE61" s="232">
        <f>DGbasevalo!C6</f>
        <v>7.9413265000000005E-5</v>
      </c>
      <c r="AF61" s="245">
        <v>0.08</v>
      </c>
      <c r="AG61" s="231">
        <f>DGbasevalo!D6</f>
        <v>5.8075829000000003E-5</v>
      </c>
      <c r="AH61" s="246" t="e">
        <f t="shared" si="32"/>
        <v>#N/A</v>
      </c>
      <c r="AI61" s="234">
        <f>DGcalcul!$K$25</f>
        <v>0</v>
      </c>
      <c r="AJ61" s="234">
        <f>DGcalcul!$K$24</f>
        <v>0</v>
      </c>
      <c r="AK61" s="235">
        <f>DGbaseF2V!J8</f>
        <v>-1.9214072000000001E-4</v>
      </c>
      <c r="AL61" s="247">
        <f t="shared" si="8"/>
        <v>-1.9214072000000001E-4</v>
      </c>
    </row>
    <row r="62" spans="1:38" s="241" customFormat="1" outlineLevel="1" x14ac:dyDescent="0.3">
      <c r="A62" s="259" t="s">
        <v>196</v>
      </c>
      <c r="B62" s="217" t="str">
        <f>DGcalcul!$E$19</f>
        <v>Mixed or Unknown collection</v>
      </c>
      <c r="C62" s="217" t="str">
        <f t="shared" si="13"/>
        <v>PET Mixed or Unknown collection</v>
      </c>
      <c r="D62" s="237" t="s">
        <v>329</v>
      </c>
      <c r="E62" s="238" t="s">
        <v>343</v>
      </c>
      <c r="F62" s="220">
        <f>DGcalcul!$E$8</f>
        <v>0</v>
      </c>
      <c r="G62" s="218">
        <f>'DGbase données'!F6</f>
        <v>1.4618308000000001E-7</v>
      </c>
      <c r="H62" s="239">
        <f t="shared" si="27"/>
        <v>1.4618308000000001E-7</v>
      </c>
      <c r="I62" s="220">
        <f>DGcalcul!$E$8</f>
        <v>0</v>
      </c>
      <c r="J62" s="240">
        <v>0.5</v>
      </c>
      <c r="K62" s="224">
        <f>DGbaseF2V!K9</f>
        <v>8.0780695000000003E-9</v>
      </c>
      <c r="L62" s="241">
        <f t="shared" si="0"/>
        <v>1.4618308000000001E-7</v>
      </c>
      <c r="M62" s="240">
        <v>0.9</v>
      </c>
      <c r="N62" s="240">
        <v>1</v>
      </c>
      <c r="O62" s="240">
        <f t="shared" si="28"/>
        <v>0.9</v>
      </c>
      <c r="P62" s="225">
        <f t="shared" si="29"/>
        <v>0</v>
      </c>
      <c r="Q62" s="260">
        <f t="shared" si="33"/>
        <v>1.4618308000000001E-7</v>
      </c>
      <c r="R62" s="242">
        <v>0.5</v>
      </c>
      <c r="S62" s="228" t="e">
        <f>IF(DGcalcul!$I$19="yes",VLOOKUP(DGcalcul!$G$3,DGliste!$F$13:$G$19,2,0),HLOOKUP($A$57,'DGbase données'!$B$78:$E$81,3,0))</f>
        <v>#N/A</v>
      </c>
      <c r="T62" s="241">
        <v>3.5930639E-8</v>
      </c>
      <c r="U62" s="241">
        <f t="shared" si="1"/>
        <v>1.4618308000000001E-7</v>
      </c>
      <c r="V62" s="240">
        <v>0.9</v>
      </c>
      <c r="W62" s="240">
        <v>1</v>
      </c>
      <c r="X62" s="240">
        <f t="shared" si="30"/>
        <v>0.9</v>
      </c>
      <c r="Y62" s="243" t="e">
        <f t="shared" si="31"/>
        <v>#N/A</v>
      </c>
      <c r="Z62" s="244">
        <v>0</v>
      </c>
      <c r="AA62" s="228" t="e">
        <f>IF(DGcalcul!$I$19="yes",VLOOKUP(DGcalcul!$G$3,DGliste!$F$13:$G$19,2,0),HLOOKUP($A$57,'DGbase données'!$B$78:$E$81,2,0))</f>
        <v>#N/A</v>
      </c>
      <c r="AB62" s="224">
        <f>DGbaseF2V!I9</f>
        <v>1.4669214000000001E-7</v>
      </c>
      <c r="AC62" s="231">
        <f>HLOOKUP(C62,DGbasecoll!$B$3:$K$4,2,0)</f>
        <v>19.52</v>
      </c>
      <c r="AD62" s="245">
        <v>0.187</v>
      </c>
      <c r="AE62" s="232">
        <f>DGbasevalo!C7</f>
        <v>3.815356E-10</v>
      </c>
      <c r="AF62" s="245">
        <v>0.08</v>
      </c>
      <c r="AG62" s="231">
        <f>DGbasevalo!D7</f>
        <v>1.2179878E-9</v>
      </c>
      <c r="AH62" s="246" t="e">
        <f t="shared" si="32"/>
        <v>#N/A</v>
      </c>
      <c r="AI62" s="234">
        <f>DGcalcul!$K$25</f>
        <v>0</v>
      </c>
      <c r="AJ62" s="234">
        <f>DGcalcul!$K$24</f>
        <v>0</v>
      </c>
      <c r="AK62" s="235">
        <f>DGbaseF2V!J9</f>
        <v>-2.2139156000000001E-8</v>
      </c>
      <c r="AL62" s="247">
        <f t="shared" si="8"/>
        <v>-2.2139156000000001E-8</v>
      </c>
    </row>
    <row r="63" spans="1:38" s="241" customFormat="1" outlineLevel="1" x14ac:dyDescent="0.3">
      <c r="A63" s="259" t="s">
        <v>196</v>
      </c>
      <c r="B63" s="217" t="str">
        <f>DGcalcul!$E$19</f>
        <v>Mixed or Unknown collection</v>
      </c>
      <c r="C63" s="217" t="str">
        <f t="shared" si="13"/>
        <v>PET Mixed or Unknown collection</v>
      </c>
      <c r="D63" s="237" t="s">
        <v>420</v>
      </c>
      <c r="E63" s="238" t="s">
        <v>421</v>
      </c>
      <c r="F63" s="220">
        <f>DGcalcul!$E$8</f>
        <v>0</v>
      </c>
      <c r="G63" s="218">
        <f>'DGbase données'!F7</f>
        <v>3.6269325E-8</v>
      </c>
      <c r="H63" s="239">
        <f t="shared" si="27"/>
        <v>3.6269325E-8</v>
      </c>
      <c r="I63" s="220">
        <f>DGcalcul!$E$8</f>
        <v>0</v>
      </c>
      <c r="J63" s="240">
        <v>0.5</v>
      </c>
      <c r="K63" s="224">
        <f>DGbaseF2V!K10</f>
        <v>2.2478817E-9</v>
      </c>
      <c r="L63" s="241">
        <f t="shared" si="0"/>
        <v>3.6269325E-8</v>
      </c>
      <c r="M63" s="240">
        <v>0.9</v>
      </c>
      <c r="N63" s="240">
        <v>1</v>
      </c>
      <c r="O63" s="240">
        <f t="shared" si="28"/>
        <v>0.9</v>
      </c>
      <c r="P63" s="225">
        <f t="shared" si="29"/>
        <v>0</v>
      </c>
      <c r="Q63" s="260">
        <f t="shared" si="33"/>
        <v>3.6269325E-8</v>
      </c>
      <c r="R63" s="242">
        <v>0.5</v>
      </c>
      <c r="S63" s="228" t="e">
        <f>IF(DGcalcul!$I$19="yes",VLOOKUP(DGcalcul!$G$3,DGliste!$F$13:$G$19,2,0),HLOOKUP($A$57,'DGbase données'!$B$78:$E$81,3,0))</f>
        <v>#N/A</v>
      </c>
      <c r="T63" s="241">
        <v>7.7363816999999998E-9</v>
      </c>
      <c r="U63" s="241">
        <f t="shared" si="1"/>
        <v>3.6269325E-8</v>
      </c>
      <c r="V63" s="240">
        <v>0.9</v>
      </c>
      <c r="W63" s="240">
        <v>1</v>
      </c>
      <c r="X63" s="240">
        <f t="shared" si="30"/>
        <v>0.9</v>
      </c>
      <c r="Y63" s="243" t="e">
        <f t="shared" si="31"/>
        <v>#N/A</v>
      </c>
      <c r="Z63" s="244">
        <v>0</v>
      </c>
      <c r="AA63" s="228" t="e">
        <f>IF(DGcalcul!$I$19="yes",VLOOKUP(DGcalcul!$G$3,DGliste!$F$13:$G$19,2,0),HLOOKUP($A$57,'DGbase données'!$B$78:$E$81,2,0))</f>
        <v>#N/A</v>
      </c>
      <c r="AB63" s="224">
        <f>DGbaseF2V!I10</f>
        <v>7.6409497999999993E-9</v>
      </c>
      <c r="AC63" s="231">
        <f>HLOOKUP(C63,DGbasecoll!$B$3:$K$4,2,0)</f>
        <v>19.52</v>
      </c>
      <c r="AD63" s="245">
        <v>0.187</v>
      </c>
      <c r="AE63" s="232">
        <f>DGbasevalo!C8</f>
        <v>1.9881795000000001E-10</v>
      </c>
      <c r="AF63" s="245">
        <v>0.08</v>
      </c>
      <c r="AG63" s="231">
        <f>DGbasevalo!D8</f>
        <v>2.6225022999999999E-10</v>
      </c>
      <c r="AH63" s="246" t="e">
        <f t="shared" si="32"/>
        <v>#N/A</v>
      </c>
      <c r="AI63" s="234">
        <f>DGcalcul!$K$25</f>
        <v>0</v>
      </c>
      <c r="AJ63" s="234">
        <f>DGcalcul!$K$24</f>
        <v>0</v>
      </c>
      <c r="AK63" s="235">
        <f>DGbaseF2V!J10</f>
        <v>-2.0773666000000001E-10</v>
      </c>
      <c r="AL63" s="247">
        <f t="shared" si="8"/>
        <v>-2.0773666000000001E-10</v>
      </c>
    </row>
    <row r="64" spans="1:38" s="241" customFormat="1" outlineLevel="1" x14ac:dyDescent="0.3">
      <c r="A64" s="259" t="s">
        <v>196</v>
      </c>
      <c r="B64" s="217" t="str">
        <f>DGcalcul!$E$19</f>
        <v>Mixed or Unknown collection</v>
      </c>
      <c r="C64" s="217" t="str">
        <f t="shared" si="13"/>
        <v>PET Mixed or Unknown collection</v>
      </c>
      <c r="D64" s="237" t="s">
        <v>422</v>
      </c>
      <c r="E64" s="238" t="s">
        <v>421</v>
      </c>
      <c r="F64" s="220">
        <f>DGcalcul!$E$8</f>
        <v>0</v>
      </c>
      <c r="G64" s="218">
        <f>'DGbase données'!F8</f>
        <v>1.9817272999999999E-9</v>
      </c>
      <c r="H64" s="239">
        <f t="shared" si="27"/>
        <v>1.9817272999999999E-9</v>
      </c>
      <c r="I64" s="220">
        <f>DGcalcul!$E$8</f>
        <v>0</v>
      </c>
      <c r="J64" s="240">
        <v>0.5</v>
      </c>
      <c r="K64" s="224">
        <f>DGbaseF2V!K11</f>
        <v>9.9302582000000002E-10</v>
      </c>
      <c r="L64" s="241">
        <f t="shared" si="0"/>
        <v>1.9817272999999999E-9</v>
      </c>
      <c r="M64" s="240">
        <v>0.9</v>
      </c>
      <c r="N64" s="240">
        <v>1</v>
      </c>
      <c r="O64" s="240">
        <f t="shared" si="28"/>
        <v>0.9</v>
      </c>
      <c r="P64" s="225">
        <f t="shared" si="29"/>
        <v>0</v>
      </c>
      <c r="Q64" s="260">
        <f t="shared" si="33"/>
        <v>1.9817272999999999E-9</v>
      </c>
      <c r="R64" s="242">
        <v>0.5</v>
      </c>
      <c r="S64" s="228" t="e">
        <f>IF(DGcalcul!$I$19="yes",VLOOKUP(DGcalcul!$G$3,DGliste!$F$13:$G$19,2,0),HLOOKUP($A$57,'DGbase données'!$B$78:$E$81,3,0))</f>
        <v>#N/A</v>
      </c>
      <c r="T64" s="241">
        <v>3.9807323000000002E-10</v>
      </c>
      <c r="U64" s="241">
        <f t="shared" si="1"/>
        <v>1.9817272999999999E-9</v>
      </c>
      <c r="V64" s="240">
        <v>0.9</v>
      </c>
      <c r="W64" s="240">
        <v>1</v>
      </c>
      <c r="X64" s="240">
        <f t="shared" si="30"/>
        <v>0.9</v>
      </c>
      <c r="Y64" s="243" t="e">
        <f t="shared" si="31"/>
        <v>#N/A</v>
      </c>
      <c r="Z64" s="244">
        <v>0</v>
      </c>
      <c r="AA64" s="228" t="e">
        <f>IF(DGcalcul!$I$19="yes",VLOOKUP(DGcalcul!$G$3,DGliste!$F$13:$G$19,2,0),HLOOKUP($A$57,'DGbase données'!$B$78:$E$81,2,0))</f>
        <v>#N/A</v>
      </c>
      <c r="AB64" s="224">
        <f>DGbaseF2V!I11</f>
        <v>1.7898562999999999E-10</v>
      </c>
      <c r="AC64" s="231">
        <f>HLOOKUP(C64,DGbasecoll!$B$3:$K$4,2,0)</f>
        <v>19.52</v>
      </c>
      <c r="AD64" s="245">
        <v>0.187</v>
      </c>
      <c r="AE64" s="232">
        <f>DGbasevalo!C9</f>
        <v>1.5634214999999999E-11</v>
      </c>
      <c r="AF64" s="245">
        <v>0.08</v>
      </c>
      <c r="AG64" s="231">
        <f>DGbasevalo!D9</f>
        <v>1.3494008E-11</v>
      </c>
      <c r="AH64" s="246" t="e">
        <f t="shared" si="32"/>
        <v>#N/A</v>
      </c>
      <c r="AI64" s="234">
        <f>DGcalcul!$K$25</f>
        <v>0</v>
      </c>
      <c r="AJ64" s="234">
        <f>DGcalcul!$K$24</f>
        <v>0</v>
      </c>
      <c r="AK64" s="235">
        <f>DGbaseF2V!J11</f>
        <v>-1.9487869E-11</v>
      </c>
      <c r="AL64" s="247">
        <f t="shared" si="8"/>
        <v>-1.9487869E-11</v>
      </c>
    </row>
    <row r="65" spans="1:38" s="241" customFormat="1" outlineLevel="1" x14ac:dyDescent="0.3">
      <c r="A65" s="259" t="s">
        <v>196</v>
      </c>
      <c r="B65" s="217" t="str">
        <f>DGcalcul!$E$19</f>
        <v>Mixed or Unknown collection</v>
      </c>
      <c r="C65" s="217" t="str">
        <f t="shared" si="13"/>
        <v>PET Mixed or Unknown collection</v>
      </c>
      <c r="D65" s="237" t="s">
        <v>330</v>
      </c>
      <c r="E65" s="238" t="s">
        <v>344</v>
      </c>
      <c r="F65" s="220">
        <f>DGcalcul!$E$8</f>
        <v>0</v>
      </c>
      <c r="G65" s="218">
        <f>'DGbase données'!F9</f>
        <v>1.4006064E-2</v>
      </c>
      <c r="H65" s="239">
        <f t="shared" si="27"/>
        <v>1.4006064E-2</v>
      </c>
      <c r="I65" s="220">
        <f>DGcalcul!$E$8</f>
        <v>0</v>
      </c>
      <c r="J65" s="240">
        <v>0.5</v>
      </c>
      <c r="K65" s="224">
        <f>DGbaseF2V!K12</f>
        <v>1.4264174000000001E-3</v>
      </c>
      <c r="L65" s="241">
        <f t="shared" si="0"/>
        <v>1.4006064E-2</v>
      </c>
      <c r="M65" s="240">
        <v>0.9</v>
      </c>
      <c r="N65" s="240">
        <v>1</v>
      </c>
      <c r="O65" s="240">
        <f t="shared" si="28"/>
        <v>0.9</v>
      </c>
      <c r="P65" s="225">
        <f t="shared" si="29"/>
        <v>0</v>
      </c>
      <c r="Q65" s="260">
        <f t="shared" si="33"/>
        <v>1.4006064E-2</v>
      </c>
      <c r="R65" s="242">
        <v>0.5</v>
      </c>
      <c r="S65" s="228" t="e">
        <f>IF(DGcalcul!$I$19="yes",VLOOKUP(DGcalcul!$G$3,DGliste!$F$13:$G$19,2,0),HLOOKUP($A$57,'DGbase données'!$B$78:$E$81,3,0))</f>
        <v>#N/A</v>
      </c>
      <c r="T65" s="241">
        <v>3.192678E-3</v>
      </c>
      <c r="U65" s="241">
        <f t="shared" si="1"/>
        <v>1.4006064E-2</v>
      </c>
      <c r="V65" s="240">
        <v>0.9</v>
      </c>
      <c r="W65" s="240">
        <v>1</v>
      </c>
      <c r="X65" s="240">
        <f t="shared" si="30"/>
        <v>0.9</v>
      </c>
      <c r="Y65" s="243" t="e">
        <f t="shared" si="31"/>
        <v>#N/A</v>
      </c>
      <c r="Z65" s="244">
        <v>0</v>
      </c>
      <c r="AA65" s="228" t="e">
        <f>IF(DGcalcul!$I$19="yes",VLOOKUP(DGcalcul!$G$3,DGliste!$F$13:$G$19,2,0),HLOOKUP($A$57,'DGbase données'!$B$78:$E$81,2,0))</f>
        <v>#N/A</v>
      </c>
      <c r="AB65" s="224">
        <f>DGbaseF2V!I12</f>
        <v>1.5203964E-2</v>
      </c>
      <c r="AC65" s="231">
        <f>HLOOKUP(C65,DGbasecoll!$B$3:$K$4,2,0)</f>
        <v>19.52</v>
      </c>
      <c r="AD65" s="245">
        <v>0.187</v>
      </c>
      <c r="AE65" s="232">
        <f>DGbasevalo!C10</f>
        <v>8.942492E-5</v>
      </c>
      <c r="AF65" s="245">
        <v>0.08</v>
      </c>
      <c r="AG65" s="231">
        <f>DGbasevalo!D10</f>
        <v>1.0822637E-4</v>
      </c>
      <c r="AH65" s="246" t="e">
        <f t="shared" si="32"/>
        <v>#N/A</v>
      </c>
      <c r="AI65" s="234">
        <f>DGcalcul!$K$25</f>
        <v>0</v>
      </c>
      <c r="AJ65" s="234">
        <f>DGcalcul!$K$24</f>
        <v>0</v>
      </c>
      <c r="AK65" s="235">
        <f>DGbaseF2V!J12</f>
        <v>-2.8440295E-4</v>
      </c>
      <c r="AL65" s="247">
        <f t="shared" si="8"/>
        <v>-2.8440295E-4</v>
      </c>
    </row>
    <row r="66" spans="1:38" s="241" customFormat="1" outlineLevel="1" x14ac:dyDescent="0.3">
      <c r="A66" s="259" t="s">
        <v>196</v>
      </c>
      <c r="B66" s="217" t="str">
        <f>DGcalcul!$E$19</f>
        <v>Mixed or Unknown collection</v>
      </c>
      <c r="C66" s="217" t="str">
        <f t="shared" si="13"/>
        <v>PET Mixed or Unknown collection</v>
      </c>
      <c r="D66" s="237" t="s">
        <v>331</v>
      </c>
      <c r="E66" s="238" t="s">
        <v>345</v>
      </c>
      <c r="F66" s="220">
        <f>DGcalcul!$E$8</f>
        <v>0</v>
      </c>
      <c r="G66" s="218">
        <f>'DGbase données'!F10</f>
        <v>6.2680620999999996E-4</v>
      </c>
      <c r="H66" s="239">
        <f t="shared" si="27"/>
        <v>6.2680620999999996E-4</v>
      </c>
      <c r="I66" s="220">
        <f>DGcalcul!$E$8</f>
        <v>0</v>
      </c>
      <c r="J66" s="240">
        <v>0.5</v>
      </c>
      <c r="K66" s="224">
        <f>DGbaseF2V!K13</f>
        <v>2.0966746999999999E-4</v>
      </c>
      <c r="L66" s="241">
        <f t="shared" si="0"/>
        <v>6.2680620999999996E-4</v>
      </c>
      <c r="M66" s="240">
        <v>0.9</v>
      </c>
      <c r="N66" s="240">
        <v>1</v>
      </c>
      <c r="O66" s="240">
        <f t="shared" si="28"/>
        <v>0.9</v>
      </c>
      <c r="P66" s="225">
        <f t="shared" si="29"/>
        <v>0</v>
      </c>
      <c r="Q66" s="260">
        <f t="shared" si="33"/>
        <v>6.2680620999999996E-4</v>
      </c>
      <c r="R66" s="242">
        <v>0.5</v>
      </c>
      <c r="S66" s="228" t="e">
        <f>IF(DGcalcul!$I$19="yes",VLOOKUP(DGcalcul!$G$3,DGliste!$F$13:$G$19,2,0),HLOOKUP($A$57,'DGbase données'!$B$78:$E$81,3,0))</f>
        <v>#N/A</v>
      </c>
      <c r="T66" s="241">
        <v>1.6032882999999999E-4</v>
      </c>
      <c r="U66" s="241">
        <f t="shared" si="1"/>
        <v>6.2680620999999996E-4</v>
      </c>
      <c r="V66" s="240">
        <v>0.9</v>
      </c>
      <c r="W66" s="240">
        <v>1</v>
      </c>
      <c r="X66" s="240">
        <f t="shared" si="30"/>
        <v>0.9</v>
      </c>
      <c r="Y66" s="243" t="e">
        <f t="shared" si="31"/>
        <v>#N/A</v>
      </c>
      <c r="Z66" s="244">
        <v>0</v>
      </c>
      <c r="AA66" s="228" t="e">
        <f>IF(DGcalcul!$I$19="yes",VLOOKUP(DGcalcul!$G$3,DGliste!$F$13:$G$19,2,0),HLOOKUP($A$57,'DGbase données'!$B$78:$E$81,2,0))</f>
        <v>#N/A</v>
      </c>
      <c r="AB66" s="224">
        <f>DGbaseF2V!I13</f>
        <v>3.7257835000000002E-7</v>
      </c>
      <c r="AC66" s="231">
        <f>HLOOKUP(C66,DGbasecoll!$B$3:$K$4,2,0)</f>
        <v>19.52</v>
      </c>
      <c r="AD66" s="245">
        <v>0.187</v>
      </c>
      <c r="AE66" s="232">
        <f>DGbasevalo!C11</f>
        <v>2.5191956000000001E-6</v>
      </c>
      <c r="AF66" s="245">
        <v>0.08</v>
      </c>
      <c r="AG66" s="231">
        <f>DGbasevalo!D11</f>
        <v>5.4348756999999998E-6</v>
      </c>
      <c r="AH66" s="246" t="e">
        <f t="shared" si="32"/>
        <v>#N/A</v>
      </c>
      <c r="AI66" s="234">
        <f>DGcalcul!$K$25</f>
        <v>0</v>
      </c>
      <c r="AJ66" s="234">
        <f>DGcalcul!$K$24</f>
        <v>0</v>
      </c>
      <c r="AK66" s="235">
        <f>DGbaseF2V!J13</f>
        <v>-3.3771856999999997E-5</v>
      </c>
      <c r="AL66" s="247">
        <f t="shared" si="8"/>
        <v>-3.3771856999999997E-5</v>
      </c>
    </row>
    <row r="67" spans="1:38" s="241" customFormat="1" outlineLevel="1" x14ac:dyDescent="0.3">
      <c r="A67" s="259" t="s">
        <v>196</v>
      </c>
      <c r="B67" s="217" t="str">
        <f>DGcalcul!$E$19</f>
        <v>Mixed or Unknown collection</v>
      </c>
      <c r="C67" s="217" t="str">
        <f t="shared" si="13"/>
        <v>PET Mixed or Unknown collection</v>
      </c>
      <c r="D67" s="237" t="s">
        <v>423</v>
      </c>
      <c r="E67" s="238" t="s">
        <v>424</v>
      </c>
      <c r="F67" s="220">
        <f>DGcalcul!$E$8</f>
        <v>0</v>
      </c>
      <c r="G67" s="218">
        <f>'DGbase données'!F11</f>
        <v>2.6585671000000002E-3</v>
      </c>
      <c r="H67" s="239">
        <f t="shared" si="27"/>
        <v>2.6585671000000002E-3</v>
      </c>
      <c r="I67" s="220">
        <f>DGcalcul!$E$8</f>
        <v>0</v>
      </c>
      <c r="J67" s="240">
        <v>0.5</v>
      </c>
      <c r="K67" s="224">
        <f>DGbaseF2V!K14</f>
        <v>2.7980700999999999E-4</v>
      </c>
      <c r="L67" s="241">
        <f t="shared" si="0"/>
        <v>2.6585671000000002E-3</v>
      </c>
      <c r="M67" s="240">
        <v>0.9</v>
      </c>
      <c r="N67" s="240">
        <v>1</v>
      </c>
      <c r="O67" s="240">
        <f t="shared" si="28"/>
        <v>0.9</v>
      </c>
      <c r="P67" s="225">
        <f t="shared" si="29"/>
        <v>0</v>
      </c>
      <c r="Q67" s="260">
        <f t="shared" si="33"/>
        <v>2.6585671000000002E-3</v>
      </c>
      <c r="R67" s="242">
        <v>0.5</v>
      </c>
      <c r="S67" s="228" t="e">
        <f>IF(DGcalcul!$I$19="yes",VLOOKUP(DGcalcul!$G$3,DGliste!$F$13:$G$19,2,0),HLOOKUP($A$57,'DGbase données'!$B$78:$E$81,3,0))</f>
        <v>#N/A</v>
      </c>
      <c r="T67" s="241">
        <v>8.4212963000000003E-4</v>
      </c>
      <c r="U67" s="241">
        <f t="shared" si="1"/>
        <v>2.6585671000000002E-3</v>
      </c>
      <c r="V67" s="240">
        <v>0.9</v>
      </c>
      <c r="W67" s="240">
        <v>1</v>
      </c>
      <c r="X67" s="240">
        <f t="shared" si="30"/>
        <v>0.9</v>
      </c>
      <c r="Y67" s="243" t="e">
        <f t="shared" si="31"/>
        <v>#N/A</v>
      </c>
      <c r="Z67" s="244">
        <v>0</v>
      </c>
      <c r="AA67" s="228" t="e">
        <f>IF(DGcalcul!$I$19="yes",VLOOKUP(DGcalcul!$G$3,DGliste!$F$13:$G$19,2,0),HLOOKUP($A$57,'DGbase données'!$B$78:$E$81,2,0))</f>
        <v>#N/A</v>
      </c>
      <c r="AB67" s="224">
        <f>DGbaseF2V!I14</f>
        <v>1.5383413E-3</v>
      </c>
      <c r="AC67" s="231">
        <f>HLOOKUP(C67,DGbasecoll!$B$3:$K$4,2,0)</f>
        <v>19.52</v>
      </c>
      <c r="AD67" s="245">
        <v>0.187</v>
      </c>
      <c r="AE67" s="232">
        <f>DGbasevalo!C12</f>
        <v>1.6508956E-5</v>
      </c>
      <c r="AF67" s="245">
        <v>0.08</v>
      </c>
      <c r="AG67" s="231">
        <f>DGbasevalo!D12</f>
        <v>2.8546766999999999E-5</v>
      </c>
      <c r="AH67" s="246" t="e">
        <f t="shared" si="32"/>
        <v>#N/A</v>
      </c>
      <c r="AI67" s="234">
        <f>DGcalcul!$K$25</f>
        <v>0</v>
      </c>
      <c r="AJ67" s="234">
        <f>DGcalcul!$K$24</f>
        <v>0</v>
      </c>
      <c r="AK67" s="235">
        <f>DGbaseF2V!J14</f>
        <v>-5.9943874000000003E-5</v>
      </c>
      <c r="AL67" s="247">
        <f t="shared" si="8"/>
        <v>-5.9943874000000003E-5</v>
      </c>
    </row>
    <row r="68" spans="1:38" s="241" customFormat="1" outlineLevel="1" x14ac:dyDescent="0.3">
      <c r="A68" s="259" t="s">
        <v>196</v>
      </c>
      <c r="B68" s="217" t="str">
        <f>DGcalcul!$E$19</f>
        <v>Mixed or Unknown collection</v>
      </c>
      <c r="C68" s="217" t="str">
        <f t="shared" si="13"/>
        <v>PET Mixed or Unknown collection</v>
      </c>
      <c r="D68" s="237" t="s">
        <v>425</v>
      </c>
      <c r="E68" s="238" t="s">
        <v>426</v>
      </c>
      <c r="F68" s="220">
        <f>DGcalcul!$E$8</f>
        <v>0</v>
      </c>
      <c r="G68" s="218">
        <f>'DGbase données'!F12</f>
        <v>2.7322928E-2</v>
      </c>
      <c r="H68" s="239">
        <f t="shared" si="27"/>
        <v>2.7322928E-2</v>
      </c>
      <c r="I68" s="220">
        <f>DGcalcul!$E$8</f>
        <v>0</v>
      </c>
      <c r="J68" s="240">
        <v>0.5</v>
      </c>
      <c r="K68" s="224">
        <f>DGbaseF2V!K15</f>
        <v>2.5822542E-3</v>
      </c>
      <c r="L68" s="241">
        <f t="shared" si="0"/>
        <v>2.7322928E-2</v>
      </c>
      <c r="M68" s="240">
        <v>0.9</v>
      </c>
      <c r="N68" s="240">
        <v>1</v>
      </c>
      <c r="O68" s="240">
        <f t="shared" si="28"/>
        <v>0.9</v>
      </c>
      <c r="P68" s="225">
        <f t="shared" si="29"/>
        <v>0</v>
      </c>
      <c r="Q68" s="260">
        <f t="shared" si="33"/>
        <v>2.7322928E-2</v>
      </c>
      <c r="R68" s="242">
        <v>0.5</v>
      </c>
      <c r="S68" s="228" t="e">
        <f>IF(DGcalcul!$I$19="yes",VLOOKUP(DGcalcul!$G$3,DGliste!$F$13:$G$19,2,0),HLOOKUP($A$57,'DGbase données'!$B$78:$E$81,3,0))</f>
        <v>#N/A</v>
      </c>
      <c r="T68" s="241">
        <v>6.2651119000000002E-3</v>
      </c>
      <c r="U68" s="241">
        <f t="shared" si="1"/>
        <v>2.7322928E-2</v>
      </c>
      <c r="V68" s="240">
        <v>0.9</v>
      </c>
      <c r="W68" s="240">
        <v>1</v>
      </c>
      <c r="X68" s="240">
        <f t="shared" si="30"/>
        <v>0.9</v>
      </c>
      <c r="Y68" s="243" t="e">
        <f t="shared" si="31"/>
        <v>#N/A</v>
      </c>
      <c r="Z68" s="244">
        <v>0</v>
      </c>
      <c r="AA68" s="228" t="e">
        <f>IF(DGcalcul!$I$19="yes",VLOOKUP(DGcalcul!$G$3,DGliste!$F$13:$G$19,2,0),HLOOKUP($A$57,'DGbase données'!$B$78:$E$81,2,0))</f>
        <v>#N/A</v>
      </c>
      <c r="AB68" s="224">
        <f>DGbaseF2V!I15</f>
        <v>1.5909374E-2</v>
      </c>
      <c r="AC68" s="231">
        <f>HLOOKUP(C68,DGbasecoll!$B$3:$K$4,2,0)</f>
        <v>19.52</v>
      </c>
      <c r="AD68" s="245">
        <v>0.187</v>
      </c>
      <c r="AE68" s="232">
        <f>DGbasevalo!C13</f>
        <v>1.7353508999999999E-4</v>
      </c>
      <c r="AF68" s="245">
        <v>0.08</v>
      </c>
      <c r="AG68" s="231">
        <f>DGbasevalo!D13</f>
        <v>2.1237668000000001E-4</v>
      </c>
      <c r="AH68" s="246" t="e">
        <f t="shared" si="32"/>
        <v>#N/A</v>
      </c>
      <c r="AI68" s="234">
        <f>DGcalcul!$K$25</f>
        <v>0</v>
      </c>
      <c r="AJ68" s="234">
        <f>DGcalcul!$K$24</f>
        <v>0</v>
      </c>
      <c r="AK68" s="235">
        <f>DGbaseF2V!J15</f>
        <v>-6.5510446999999996E-4</v>
      </c>
      <c r="AL68" s="247">
        <f t="shared" si="8"/>
        <v>-6.5510446999999996E-4</v>
      </c>
    </row>
    <row r="69" spans="1:38" s="241" customFormat="1" outlineLevel="1" x14ac:dyDescent="0.3">
      <c r="A69" s="259" t="s">
        <v>196</v>
      </c>
      <c r="B69" s="217" t="str">
        <f>DGcalcul!$E$19</f>
        <v>Mixed or Unknown collection</v>
      </c>
      <c r="C69" s="217" t="str">
        <f t="shared" si="13"/>
        <v>PET Mixed or Unknown collection</v>
      </c>
      <c r="D69" s="237" t="s">
        <v>427</v>
      </c>
      <c r="E69" s="238" t="s">
        <v>428</v>
      </c>
      <c r="F69" s="220">
        <f>DGcalcul!$E$8</f>
        <v>0</v>
      </c>
      <c r="G69" s="218">
        <f>'DGbase données'!F13</f>
        <v>45.034388</v>
      </c>
      <c r="H69" s="239">
        <f t="shared" si="27"/>
        <v>45.034388</v>
      </c>
      <c r="I69" s="220">
        <f>DGcalcul!$E$8</f>
        <v>0</v>
      </c>
      <c r="J69" s="240">
        <v>0.5</v>
      </c>
      <c r="K69" s="224">
        <f>DGbaseF2V!K16</f>
        <v>2.86206121E-3</v>
      </c>
      <c r="L69" s="241">
        <f t="shared" si="0"/>
        <v>45.034388</v>
      </c>
      <c r="M69" s="240">
        <v>0.9</v>
      </c>
      <c r="N69" s="240">
        <v>1</v>
      </c>
      <c r="O69" s="240">
        <f t="shared" si="28"/>
        <v>0.9</v>
      </c>
      <c r="P69" s="225">
        <f t="shared" si="29"/>
        <v>0</v>
      </c>
      <c r="Q69" s="260">
        <f t="shared" si="33"/>
        <v>45.034388</v>
      </c>
      <c r="R69" s="242">
        <v>0.5</v>
      </c>
      <c r="S69" s="228" t="e">
        <f>IF(DGcalcul!$I$19="yes",VLOOKUP(DGcalcul!$G$3,DGliste!$F$13:$G$19,2,0),HLOOKUP($A$57,'DGbase données'!$B$78:$E$81,3,0))</f>
        <v>#N/A</v>
      </c>
      <c r="T69" s="241">
        <v>20.604796</v>
      </c>
      <c r="U69" s="241">
        <f t="shared" si="1"/>
        <v>45.034388</v>
      </c>
      <c r="V69" s="240">
        <v>0.9</v>
      </c>
      <c r="W69" s="240">
        <v>1</v>
      </c>
      <c r="X69" s="240">
        <f t="shared" si="30"/>
        <v>0.9</v>
      </c>
      <c r="Y69" s="243" t="e">
        <f t="shared" si="31"/>
        <v>#N/A</v>
      </c>
      <c r="Z69" s="244">
        <v>0</v>
      </c>
      <c r="AA69" s="228" t="e">
        <f>IF(DGcalcul!$I$19="yes",VLOOKUP(DGcalcul!$G$3,DGliste!$F$13:$G$19,2,0),HLOOKUP($A$57,'DGbase données'!$B$78:$E$81,2,0))</f>
        <v>#N/A</v>
      </c>
      <c r="AB69" s="224">
        <f>DGbaseF2V!I16</f>
        <v>4.7172385999999999</v>
      </c>
      <c r="AC69" s="231">
        <f>HLOOKUP(C69,DGbasecoll!$B$3:$K$4,2,0)</f>
        <v>19.52</v>
      </c>
      <c r="AD69" s="245">
        <v>0.187</v>
      </c>
      <c r="AE69" s="232">
        <f>DGbasevalo!C14</f>
        <v>0.42162807000000002</v>
      </c>
      <c r="AF69" s="245">
        <v>0.08</v>
      </c>
      <c r="AG69" s="231">
        <f>DGbasevalo!D14</f>
        <v>0.69846766999999998</v>
      </c>
      <c r="AH69" s="246" t="e">
        <f t="shared" si="32"/>
        <v>#N/A</v>
      </c>
      <c r="AI69" s="234">
        <f>DGcalcul!$K$25</f>
        <v>0</v>
      </c>
      <c r="AJ69" s="234">
        <f>DGcalcul!$K$24</f>
        <v>0</v>
      </c>
      <c r="AK69" s="235">
        <f>DGbaseF2V!J16</f>
        <v>-0.97420434</v>
      </c>
      <c r="AL69" s="247">
        <f t="shared" si="8"/>
        <v>-0.97420434</v>
      </c>
    </row>
    <row r="70" spans="1:38" s="241" customFormat="1" outlineLevel="1" x14ac:dyDescent="0.3">
      <c r="A70" s="259" t="s">
        <v>196</v>
      </c>
      <c r="B70" s="217" t="str">
        <f>DGcalcul!$E$19</f>
        <v>Mixed or Unknown collection</v>
      </c>
      <c r="C70" s="217" t="str">
        <f t="shared" si="13"/>
        <v>PET Mixed or Unknown collection</v>
      </c>
      <c r="D70" s="237" t="s">
        <v>429</v>
      </c>
      <c r="E70" s="238" t="s">
        <v>430</v>
      </c>
      <c r="F70" s="220">
        <f>DGcalcul!$E$8</f>
        <v>0</v>
      </c>
      <c r="G70" s="218">
        <f>'DGbase données'!F14</f>
        <v>8.0139224000000002</v>
      </c>
      <c r="H70" s="239">
        <f t="shared" si="27"/>
        <v>8.0139224000000002</v>
      </c>
      <c r="I70" s="220">
        <f>DGcalcul!$E$8</f>
        <v>0</v>
      </c>
      <c r="J70" s="240">
        <v>0.5</v>
      </c>
      <c r="K70" s="224">
        <f>DGbaseF2V!K17</f>
        <v>1.0042628</v>
      </c>
      <c r="L70" s="241">
        <f t="shared" si="0"/>
        <v>8.0139224000000002</v>
      </c>
      <c r="M70" s="240">
        <v>0.9</v>
      </c>
      <c r="N70" s="240">
        <v>1</v>
      </c>
      <c r="O70" s="240">
        <f t="shared" si="28"/>
        <v>0.9</v>
      </c>
      <c r="P70" s="225">
        <f t="shared" si="29"/>
        <v>0</v>
      </c>
      <c r="Q70" s="260">
        <f t="shared" si="33"/>
        <v>8.0139224000000002</v>
      </c>
      <c r="R70" s="242">
        <v>0.5</v>
      </c>
      <c r="S70" s="228" t="e">
        <f>IF(DGcalcul!$I$19="yes",VLOOKUP(DGcalcul!$G$3,DGliste!$F$13:$G$19,2,0),HLOOKUP($A$57,'DGbase données'!$B$78:$E$81,3,0))</f>
        <v>#N/A</v>
      </c>
      <c r="T70" s="241">
        <v>3.2473576</v>
      </c>
      <c r="U70" s="241">
        <f t="shared" si="1"/>
        <v>8.0139224000000002</v>
      </c>
      <c r="V70" s="240">
        <v>0.9</v>
      </c>
      <c r="W70" s="240">
        <v>1</v>
      </c>
      <c r="X70" s="240">
        <f t="shared" si="30"/>
        <v>0.9</v>
      </c>
      <c r="Y70" s="243" t="e">
        <f t="shared" si="31"/>
        <v>#N/A</v>
      </c>
      <c r="Z70" s="244">
        <v>0</v>
      </c>
      <c r="AA70" s="228" t="e">
        <f>IF(DGcalcul!$I$19="yes",VLOOKUP(DGcalcul!$G$3,DGliste!$F$13:$G$19,2,0),HLOOKUP($A$57,'DGbase données'!$B$78:$E$81,2,0))</f>
        <v>#N/A</v>
      </c>
      <c r="AB70" s="224">
        <f>DGbaseF2V!I17</f>
        <v>0</v>
      </c>
      <c r="AC70" s="231">
        <f>HLOOKUP(C70,DGbasecoll!$B$3:$K$4,2,0)</f>
        <v>19.52</v>
      </c>
      <c r="AD70" s="245">
        <v>0.187</v>
      </c>
      <c r="AE70" s="232">
        <f>DGbasevalo!C15</f>
        <v>4.2297600999999997E-2</v>
      </c>
      <c r="AF70" s="245">
        <v>0.08</v>
      </c>
      <c r="AG70" s="231">
        <f>DGbasevalo!D15</f>
        <v>0.11007992</v>
      </c>
      <c r="AH70" s="246" t="e">
        <f t="shared" si="32"/>
        <v>#N/A</v>
      </c>
      <c r="AI70" s="234">
        <f>DGcalcul!$K$25</f>
        <v>0</v>
      </c>
      <c r="AJ70" s="234">
        <f>DGcalcul!$K$24</f>
        <v>0</v>
      </c>
      <c r="AK70" s="235">
        <f>DGbaseF2V!J17</f>
        <v>0</v>
      </c>
      <c r="AL70" s="247">
        <f t="shared" si="8"/>
        <v>0</v>
      </c>
    </row>
    <row r="71" spans="1:38" s="241" customFormat="1" outlineLevel="1" x14ac:dyDescent="0.3">
      <c r="A71" s="259" t="s">
        <v>196</v>
      </c>
      <c r="B71" s="217" t="str">
        <f>DGcalcul!$E$19</f>
        <v>Mixed or Unknown collection</v>
      </c>
      <c r="C71" s="217" t="str">
        <f t="shared" si="13"/>
        <v>PET Mixed or Unknown collection</v>
      </c>
      <c r="D71" s="237" t="s">
        <v>332</v>
      </c>
      <c r="E71" s="238" t="s">
        <v>431</v>
      </c>
      <c r="F71" s="220">
        <f>DGcalcul!$E$8</f>
        <v>0</v>
      </c>
      <c r="G71" s="218">
        <f>'DGbase données'!F15</f>
        <v>1.5172838</v>
      </c>
      <c r="H71" s="239">
        <f t="shared" si="27"/>
        <v>1.5172838</v>
      </c>
      <c r="I71" s="220">
        <f>DGcalcul!$E$8</f>
        <v>0</v>
      </c>
      <c r="J71" s="240">
        <v>0.5</v>
      </c>
      <c r="K71" s="224">
        <f>DGbaseF2V!K18</f>
        <v>0.10940046</v>
      </c>
      <c r="L71" s="241">
        <f t="shared" ref="L71:L73" si="34">G71</f>
        <v>1.5172838</v>
      </c>
      <c r="M71" s="240">
        <v>0.9</v>
      </c>
      <c r="N71" s="240">
        <v>1</v>
      </c>
      <c r="O71" s="240">
        <f t="shared" si="28"/>
        <v>0.9</v>
      </c>
      <c r="P71" s="225">
        <f t="shared" si="29"/>
        <v>0</v>
      </c>
      <c r="Q71" s="260">
        <f t="shared" si="33"/>
        <v>1.5172838</v>
      </c>
      <c r="R71" s="242">
        <v>0.5</v>
      </c>
      <c r="S71" s="228" t="e">
        <f>IF(DGcalcul!$I$19="yes",VLOOKUP(DGcalcul!$G$3,DGliste!$F$13:$G$19,2,0),HLOOKUP($A$57,'DGbase données'!$B$78:$E$81,3,0))</f>
        <v>#N/A</v>
      </c>
      <c r="T71" s="241">
        <v>0.22447517</v>
      </c>
      <c r="U71" s="241">
        <f t="shared" ref="U71:U73" si="35">L71</f>
        <v>1.5172838</v>
      </c>
      <c r="V71" s="240">
        <v>0.9</v>
      </c>
      <c r="W71" s="240">
        <v>1</v>
      </c>
      <c r="X71" s="240">
        <f t="shared" si="30"/>
        <v>0.9</v>
      </c>
      <c r="Y71" s="243" t="e">
        <f t="shared" si="31"/>
        <v>#N/A</v>
      </c>
      <c r="Z71" s="244">
        <v>0</v>
      </c>
      <c r="AA71" s="228" t="e">
        <f>IF(DGcalcul!$I$19="yes",VLOOKUP(DGcalcul!$G$3,DGliste!$F$13:$G$19,2,0),HLOOKUP($A$57,'DGbase données'!$B$78:$E$81,2,0))</f>
        <v>#N/A</v>
      </c>
      <c r="AB71" s="224">
        <f>DGbaseF2V!I18</f>
        <v>-0.15971267</v>
      </c>
      <c r="AC71" s="231">
        <f>HLOOKUP(C71,DGbasecoll!$B$3:$K$4,2,0)</f>
        <v>19.52</v>
      </c>
      <c r="AD71" s="245">
        <v>0.187</v>
      </c>
      <c r="AE71" s="232">
        <f>DGbasevalo!C16</f>
        <v>9.3119741999999998E-4</v>
      </c>
      <c r="AF71" s="245">
        <v>0.08</v>
      </c>
      <c r="AG71" s="231">
        <f>DGbasevalo!D16</f>
        <v>7.6093280000000003E-3</v>
      </c>
      <c r="AH71" s="246" t="e">
        <f t="shared" si="32"/>
        <v>#N/A</v>
      </c>
      <c r="AI71" s="234">
        <f>DGcalcul!$K$25</f>
        <v>0</v>
      </c>
      <c r="AJ71" s="234">
        <f>DGcalcul!$K$24</f>
        <v>0</v>
      </c>
      <c r="AK71" s="235">
        <f>DGbaseF2V!J18</f>
        <v>-4.3465658000000004E-3</v>
      </c>
      <c r="AL71" s="247">
        <f t="shared" si="8"/>
        <v>-4.3465658000000004E-3</v>
      </c>
    </row>
    <row r="72" spans="1:38" s="241" customFormat="1" outlineLevel="1" x14ac:dyDescent="0.3">
      <c r="A72" s="259" t="s">
        <v>196</v>
      </c>
      <c r="B72" s="217" t="str">
        <f>DGcalcul!$E$19</f>
        <v>Mixed or Unknown collection</v>
      </c>
      <c r="C72" s="217" t="str">
        <f t="shared" si="13"/>
        <v>PET Mixed or Unknown collection</v>
      </c>
      <c r="D72" s="237" t="s">
        <v>432</v>
      </c>
      <c r="E72" s="238" t="s">
        <v>347</v>
      </c>
      <c r="F72" s="220">
        <f>DGcalcul!$E$8</f>
        <v>0</v>
      </c>
      <c r="G72" s="218">
        <f>'DGbase données'!F16</f>
        <v>71.411293999999998</v>
      </c>
      <c r="H72" s="239">
        <f t="shared" si="27"/>
        <v>71.411293999999998</v>
      </c>
      <c r="I72" s="220">
        <f>DGcalcul!$E$8</f>
        <v>0</v>
      </c>
      <c r="J72" s="240">
        <v>0.5</v>
      </c>
      <c r="K72" s="224">
        <f>DGbaseF2V!K19</f>
        <v>3.9996920999999999</v>
      </c>
      <c r="L72" s="241">
        <f t="shared" si="34"/>
        <v>71.411293999999998</v>
      </c>
      <c r="M72" s="240">
        <v>0.9</v>
      </c>
      <c r="N72" s="240">
        <v>1</v>
      </c>
      <c r="O72" s="240">
        <f t="shared" si="28"/>
        <v>0.9</v>
      </c>
      <c r="P72" s="225">
        <f t="shared" si="29"/>
        <v>0</v>
      </c>
      <c r="Q72" s="260">
        <f t="shared" si="33"/>
        <v>71.411293999999998</v>
      </c>
      <c r="R72" s="242">
        <v>0.5</v>
      </c>
      <c r="S72" s="228" t="e">
        <f>IF(DGcalcul!$I$19="yes",VLOOKUP(DGcalcul!$G$3,DGliste!$F$13:$G$19,2,0),HLOOKUP($A$57,'DGbase données'!$B$78:$E$81,3,0))</f>
        <v>#N/A</v>
      </c>
      <c r="T72" s="241">
        <v>94.568584999999999</v>
      </c>
      <c r="U72" s="241">
        <f t="shared" si="35"/>
        <v>71.411293999999998</v>
      </c>
      <c r="V72" s="240">
        <v>0.9</v>
      </c>
      <c r="W72" s="240">
        <v>1</v>
      </c>
      <c r="X72" s="240">
        <f t="shared" si="30"/>
        <v>0.9</v>
      </c>
      <c r="Y72" s="243" t="e">
        <f t="shared" si="31"/>
        <v>#N/A</v>
      </c>
      <c r="Z72" s="244">
        <v>0</v>
      </c>
      <c r="AA72" s="228" t="e">
        <f>IF(DGcalcul!$I$19="yes",VLOOKUP(DGcalcul!$G$3,DGliste!$F$13:$G$19,2,0),HLOOKUP($A$57,'DGbase données'!$B$78:$E$81,2,0))</f>
        <v>#N/A</v>
      </c>
      <c r="AB72" s="224">
        <f>DGbaseF2V!I19</f>
        <v>32.439762000000002</v>
      </c>
      <c r="AC72" s="231">
        <f>HLOOKUP(C72,DGbasecoll!$B$3:$K$4,2,0)</f>
        <v>19.52</v>
      </c>
      <c r="AD72" s="245">
        <v>0.187</v>
      </c>
      <c r="AE72" s="232">
        <f>DGbasevalo!C17</f>
        <v>1.1585103000000001</v>
      </c>
      <c r="AF72" s="245">
        <v>0.08</v>
      </c>
      <c r="AG72" s="231">
        <f>DGbasevalo!D17</f>
        <v>3.2057147000000001</v>
      </c>
      <c r="AH72" s="246" t="e">
        <f t="shared" si="32"/>
        <v>#N/A</v>
      </c>
      <c r="AI72" s="234">
        <f>DGcalcul!$K$25</f>
        <v>0</v>
      </c>
      <c r="AJ72" s="234">
        <f>DGcalcul!$K$24</f>
        <v>0</v>
      </c>
      <c r="AK72" s="235">
        <f>DGbaseF2V!J19</f>
        <v>-1.1173516999999999</v>
      </c>
      <c r="AL72" s="247">
        <f t="shared" ref="AL72:AL73" si="36">(1-AI72-AJ72)*AK72</f>
        <v>-1.1173516999999999</v>
      </c>
    </row>
    <row r="73" spans="1:38" s="248" customFormat="1" outlineLevel="1" x14ac:dyDescent="0.3">
      <c r="A73" s="261" t="s">
        <v>196</v>
      </c>
      <c r="B73" s="217" t="str">
        <f>DGcalcul!$E$19</f>
        <v>Mixed or Unknown collection</v>
      </c>
      <c r="C73" s="217" t="str">
        <f t="shared" si="13"/>
        <v>PET Mixed or Unknown collection</v>
      </c>
      <c r="D73" s="248" t="s">
        <v>334</v>
      </c>
      <c r="E73" s="249" t="s">
        <v>348</v>
      </c>
      <c r="F73" s="220">
        <f>DGcalcul!$E$8</f>
        <v>0</v>
      </c>
      <c r="G73" s="218">
        <f>'DGbase données'!F17</f>
        <v>3.6560456999999999E-5</v>
      </c>
      <c r="H73" s="250">
        <f t="shared" si="27"/>
        <v>3.6560456999999999E-5</v>
      </c>
      <c r="I73" s="220">
        <f>DGcalcul!$E$8</f>
        <v>0</v>
      </c>
      <c r="J73" s="240">
        <v>0.5</v>
      </c>
      <c r="K73" s="224">
        <f>DGbaseF2V!K20</f>
        <v>6.6624555999999996E-7</v>
      </c>
      <c r="L73" s="248">
        <f t="shared" si="34"/>
        <v>3.6560456999999999E-5</v>
      </c>
      <c r="M73" s="251">
        <v>0.9</v>
      </c>
      <c r="N73" s="251">
        <v>1</v>
      </c>
      <c r="O73" s="251">
        <f t="shared" si="28"/>
        <v>0.9</v>
      </c>
      <c r="P73" s="225">
        <f t="shared" si="29"/>
        <v>0</v>
      </c>
      <c r="Q73" s="268">
        <f t="shared" si="33"/>
        <v>3.6560456999999999E-5</v>
      </c>
      <c r="R73" s="252">
        <v>0.5</v>
      </c>
      <c r="S73" s="228" t="e">
        <f>IF(DGcalcul!$I$19="yes",VLOOKUP(DGcalcul!$G$3,DGliste!$F$13:$G$19,2,0),HLOOKUP($A$57,'DGbase données'!$B$78:$E$81,3,0))</f>
        <v>#N/A</v>
      </c>
      <c r="T73" s="248">
        <v>6.5018955999999997E-6</v>
      </c>
      <c r="U73" s="248">
        <f t="shared" si="35"/>
        <v>3.6560456999999999E-5</v>
      </c>
      <c r="V73" s="251">
        <v>0.9</v>
      </c>
      <c r="W73" s="251">
        <v>1</v>
      </c>
      <c r="X73" s="251">
        <f t="shared" si="30"/>
        <v>0.9</v>
      </c>
      <c r="Y73" s="253" t="e">
        <f t="shared" si="31"/>
        <v>#N/A</v>
      </c>
      <c r="Z73" s="254">
        <v>0</v>
      </c>
      <c r="AA73" s="228" t="e">
        <f>IF(DGcalcul!$I$19="yes",VLOOKUP(DGcalcul!$G$3,DGliste!$F$13:$G$19,2,0),HLOOKUP($A$57,'DGbase données'!$B$78:$E$81,2,0))</f>
        <v>#N/A</v>
      </c>
      <c r="AB73" s="224">
        <f>DGbaseF2V!I20</f>
        <v>7.4376084999999994E-8</v>
      </c>
      <c r="AC73" s="231">
        <f>HLOOKUP(C73,DGbasecoll!$B$3:$K$4,2,0)</f>
        <v>19.52</v>
      </c>
      <c r="AD73" s="255">
        <v>0.187</v>
      </c>
      <c r="AE73" s="232">
        <f>DGbasevalo!C18</f>
        <v>9.4112040000000002E-8</v>
      </c>
      <c r="AF73" s="255">
        <v>0.08</v>
      </c>
      <c r="AG73" s="231">
        <f>DGbasevalo!D18</f>
        <v>2.2040323999999999E-7</v>
      </c>
      <c r="AH73" s="256" t="e">
        <f t="shared" si="32"/>
        <v>#N/A</v>
      </c>
      <c r="AI73" s="234">
        <f>DGcalcul!$K$25</f>
        <v>0</v>
      </c>
      <c r="AJ73" s="234">
        <f>DGcalcul!$K$24</f>
        <v>0</v>
      </c>
      <c r="AK73" s="235">
        <f>DGbaseF2V!J20</f>
        <v>-5.4718007000000003E-9</v>
      </c>
      <c r="AL73" s="257">
        <f t="shared" si="36"/>
        <v>-5.4718007000000003E-9</v>
      </c>
    </row>
    <row r="74" spans="1:38" ht="18" x14ac:dyDescent="0.35">
      <c r="A74" s="201" t="s">
        <v>302</v>
      </c>
      <c r="B74" s="202"/>
      <c r="C74" s="350"/>
      <c r="D74" s="203"/>
      <c r="E74" s="203"/>
      <c r="F74" s="204"/>
      <c r="G74" s="203"/>
      <c r="H74" s="205"/>
      <c r="I74" s="203"/>
      <c r="J74" s="203"/>
      <c r="K74" s="203"/>
      <c r="L74" s="203"/>
      <c r="M74" s="203"/>
      <c r="N74" s="203"/>
      <c r="O74" s="203"/>
      <c r="P74" s="205"/>
      <c r="Q74" s="205"/>
      <c r="R74" s="203"/>
      <c r="S74" s="206"/>
      <c r="T74" s="203"/>
      <c r="U74" s="203"/>
      <c r="V74" s="203"/>
      <c r="W74" s="203"/>
      <c r="X74" s="203"/>
      <c r="Y74" s="207"/>
      <c r="Z74" s="208"/>
      <c r="AA74" s="209"/>
      <c r="AB74" s="203"/>
      <c r="AC74" s="203"/>
      <c r="AD74" s="203"/>
      <c r="AE74" s="203"/>
      <c r="AF74" s="203"/>
      <c r="AG74" s="203"/>
      <c r="AH74" s="210"/>
      <c r="AI74" s="211"/>
      <c r="AJ74" s="212"/>
      <c r="AK74" s="213"/>
      <c r="AL74" s="214"/>
    </row>
    <row r="75" spans="1:38" x14ac:dyDescent="0.3">
      <c r="A75" s="216" t="s">
        <v>302</v>
      </c>
      <c r="B75" s="217" t="str">
        <f>DGcalcul!$E$19</f>
        <v>Mixed or Unknown collection</v>
      </c>
      <c r="C75" s="217" t="str">
        <f t="shared" si="13"/>
        <v>PBT Mixed or Unknown collection</v>
      </c>
      <c r="D75" s="218" t="s">
        <v>327</v>
      </c>
      <c r="E75" s="219" t="s">
        <v>336</v>
      </c>
      <c r="F75" s="220">
        <f>DGcalcul!$E$8</f>
        <v>0</v>
      </c>
      <c r="G75" s="218">
        <f>'DGbase données'!G2</f>
        <v>4.0147376000000001</v>
      </c>
      <c r="H75" s="221">
        <f t="shared" ref="H75:H90" si="37">(1-F75)*G75</f>
        <v>4.0147376000000001</v>
      </c>
      <c r="I75" s="220">
        <f>DGcalcul!$E$8</f>
        <v>0</v>
      </c>
      <c r="J75" s="222">
        <v>0.5</v>
      </c>
      <c r="K75" s="224">
        <f>DGbaseF2V!Z5</f>
        <v>0.17064777</v>
      </c>
      <c r="L75" s="224">
        <f t="shared" ref="L75:L90" si="38">G75</f>
        <v>4.0147376000000001</v>
      </c>
      <c r="M75" s="222">
        <v>0.9</v>
      </c>
      <c r="N75" s="222">
        <v>1</v>
      </c>
      <c r="O75" s="222">
        <f>M75/N75</f>
        <v>0.9</v>
      </c>
      <c r="P75" s="225">
        <f>I75*(J75*K75+(1-J75)*L75*O75)</f>
        <v>0</v>
      </c>
      <c r="Q75" s="258">
        <f>H75+P75</f>
        <v>4.0147376000000001</v>
      </c>
      <c r="R75" s="227">
        <v>0.5</v>
      </c>
      <c r="S75" s="228" t="e">
        <f>IF(DGcalcul!$I$19="yes",VLOOKUP(DGcalcul!$G$3,DGliste!$F$13:$G$19,2,0),HLOOKUP($A$74,'DGbase données'!$B$78:$E$81,3,0))</f>
        <v>#N/A</v>
      </c>
      <c r="T75" s="224">
        <f>DGbaseF2V!AA5</f>
        <v>0.17064777</v>
      </c>
      <c r="U75" s="224">
        <f t="shared" ref="U75:U90" si="39">L75</f>
        <v>4.0147376000000001</v>
      </c>
      <c r="V75" s="222">
        <v>0.9</v>
      </c>
      <c r="W75" s="222">
        <v>1</v>
      </c>
      <c r="X75" s="222">
        <f>V75/W75</f>
        <v>0.9</v>
      </c>
      <c r="Y75" s="229" t="e">
        <f>(1-R75)*S75*(T75-U75*X75)</f>
        <v>#N/A</v>
      </c>
      <c r="Z75" s="230">
        <v>0</v>
      </c>
      <c r="AA75" s="228" t="e">
        <f>IF(DGcalcul!$I$19="yes",VLOOKUP(DGcalcul!$G$3,DGliste!$F$13:$G$19,2,0),HLOOKUP($A$74,'DGbase données'!$B$78:$E$81,2,0))</f>
        <v>#N/A</v>
      </c>
      <c r="AB75" s="224">
        <f>DGbaseF2V!X5</f>
        <v>-0.86572464999999998</v>
      </c>
      <c r="AC75" s="231">
        <f>HLOOKUP(C75,DGbasecoll!$B$3:$K$4,2,0)</f>
        <v>19.52</v>
      </c>
      <c r="AD75" s="228">
        <v>0.187</v>
      </c>
      <c r="AE75" s="232">
        <f>DGbasevalo!C3</f>
        <v>7.7330222000000004E-2</v>
      </c>
      <c r="AF75" s="228">
        <v>0.08</v>
      </c>
      <c r="AG75" s="231">
        <f>DGbasevalo!D3</f>
        <v>2.2289777E-2</v>
      </c>
      <c r="AH75" s="233" t="e">
        <f>(1-Z75)*AA75*(AB75-AC75*AD75*AE75-AC75*AF75*AG75)</f>
        <v>#N/A</v>
      </c>
      <c r="AI75" s="234">
        <f>DGcalcul!$K$25</f>
        <v>0</v>
      </c>
      <c r="AJ75" s="234">
        <f>DGcalcul!$K$24</f>
        <v>0</v>
      </c>
      <c r="AK75" s="235">
        <f>DGbaseF2V!Y5</f>
        <v>-7.1919412000000002E-2</v>
      </c>
      <c r="AL75" s="236">
        <f t="shared" ref="AL75:AL90" si="40">(1-AI75-AJ75)*AK75</f>
        <v>-7.1919412000000002E-2</v>
      </c>
    </row>
    <row r="76" spans="1:38" x14ac:dyDescent="0.3">
      <c r="A76" s="216" t="s">
        <v>302</v>
      </c>
      <c r="B76" s="217" t="str">
        <f>DGcalcul!$E$19</f>
        <v>Mixed or Unknown collection</v>
      </c>
      <c r="C76" s="217" t="str">
        <f t="shared" si="13"/>
        <v>PBT Mixed or Unknown collection</v>
      </c>
      <c r="D76" s="237" t="s">
        <v>416</v>
      </c>
      <c r="E76" s="238" t="s">
        <v>417</v>
      </c>
      <c r="F76" s="220">
        <f>DGcalcul!$E$8</f>
        <v>0</v>
      </c>
      <c r="G76" s="218">
        <f>'DGbase données'!G3</f>
        <v>1.3145818E-5</v>
      </c>
      <c r="H76" s="239">
        <f t="shared" si="37"/>
        <v>1.3145818E-5</v>
      </c>
      <c r="I76" s="220">
        <f>DGcalcul!$E$8</f>
        <v>0</v>
      </c>
      <c r="J76" s="240">
        <v>0.5</v>
      </c>
      <c r="K76" s="224">
        <f>DGbaseF2V!Z6</f>
        <v>3.7804804999999999E-9</v>
      </c>
      <c r="L76" s="241">
        <f t="shared" si="38"/>
        <v>1.3145818E-5</v>
      </c>
      <c r="M76" s="240">
        <v>0.9</v>
      </c>
      <c r="N76" s="240">
        <v>1</v>
      </c>
      <c r="O76" s="240">
        <f t="shared" ref="O76:O90" si="41">M76/N76</f>
        <v>0.9</v>
      </c>
      <c r="P76" s="225">
        <f t="shared" ref="P76:P90" si="42">I76*(J76*K76+(1-J76)*L76*O76)</f>
        <v>0</v>
      </c>
      <c r="Q76" s="260">
        <f>H76+P76</f>
        <v>1.3145818E-5</v>
      </c>
      <c r="R76" s="242">
        <v>0.5</v>
      </c>
      <c r="S76" s="228" t="e">
        <f>IF(DGcalcul!$I$19="yes",VLOOKUP(DGcalcul!$G$3,DGliste!$F$13:$G$19,2,0),HLOOKUP($A$74,'DGbase données'!$B$78:$E$81,3,0))</f>
        <v>#N/A</v>
      </c>
      <c r="T76" s="224">
        <f>DGbaseF2V!AA6</f>
        <v>3.7804804999999999E-9</v>
      </c>
      <c r="U76" s="241">
        <f t="shared" si="39"/>
        <v>1.3145818E-5</v>
      </c>
      <c r="V76" s="240">
        <v>0.9</v>
      </c>
      <c r="W76" s="240">
        <v>1</v>
      </c>
      <c r="X76" s="240">
        <f t="shared" ref="X76:X90" si="43">V76/W76</f>
        <v>0.9</v>
      </c>
      <c r="Y76" s="243" t="e">
        <f t="shared" ref="Y76:Y90" si="44">(1-R76)*S76*(T76-U76*X76)</f>
        <v>#N/A</v>
      </c>
      <c r="Z76" s="244">
        <v>0</v>
      </c>
      <c r="AA76" s="228" t="e">
        <f>IF(DGcalcul!$I$19="yes",VLOOKUP(DGcalcul!$G$3,DGliste!$F$13:$G$19,2,0),HLOOKUP($A$74,'DGbase données'!$B$78:$E$81,2,0))</f>
        <v>#N/A</v>
      </c>
      <c r="AB76" s="224">
        <f>DGbaseF2V!X6</f>
        <v>1.6045051000000001E-7</v>
      </c>
      <c r="AC76" s="231">
        <f>HLOOKUP(C76,DGbasecoll!$B$3:$K$4,2,0)</f>
        <v>19.52</v>
      </c>
      <c r="AD76" s="245">
        <v>0.187</v>
      </c>
      <c r="AE76" s="232">
        <f>DGbasevalo!C4</f>
        <v>8.0992136000000005E-9</v>
      </c>
      <c r="AF76" s="245">
        <v>0.08</v>
      </c>
      <c r="AG76" s="231">
        <f>DGbasevalo!D4</f>
        <v>2.3413113000000001E-9</v>
      </c>
      <c r="AH76" s="246" t="e">
        <f>(1-Z76)*AA76*(AB76-AC76*AD76*AE76-AC76*AF76*AG76)</f>
        <v>#N/A</v>
      </c>
      <c r="AI76" s="234">
        <f>DGcalcul!$K$25</f>
        <v>0</v>
      </c>
      <c r="AJ76" s="234">
        <f>DGcalcul!$K$24</f>
        <v>0</v>
      </c>
      <c r="AK76" s="235">
        <f>DGbaseF2V!Y6</f>
        <v>-2.2703682000000001E-9</v>
      </c>
      <c r="AL76" s="247">
        <f t="shared" si="40"/>
        <v>-2.2703682000000001E-9</v>
      </c>
    </row>
    <row r="77" spans="1:38" x14ac:dyDescent="0.3">
      <c r="A77" s="216" t="s">
        <v>302</v>
      </c>
      <c r="B77" s="217" t="str">
        <f>DGcalcul!$E$19</f>
        <v>Mixed or Unknown collection</v>
      </c>
      <c r="C77" s="217" t="str">
        <f t="shared" si="13"/>
        <v>PBT Mixed or Unknown collection</v>
      </c>
      <c r="D77" s="237" t="s">
        <v>418</v>
      </c>
      <c r="E77" s="238" t="s">
        <v>419</v>
      </c>
      <c r="F77" s="220">
        <f>DGcalcul!$E$8</f>
        <v>0</v>
      </c>
      <c r="G77" s="218">
        <f>'DGbase données'!G4</f>
        <v>0.50736205000000001</v>
      </c>
      <c r="H77" s="239">
        <f t="shared" si="37"/>
        <v>0.50736205000000001</v>
      </c>
      <c r="I77" s="220">
        <f>DGcalcul!$E$8</f>
        <v>0</v>
      </c>
      <c r="J77" s="240">
        <v>0.5</v>
      </c>
      <c r="K77" s="224">
        <f>DGbaseF2V!Z7</f>
        <v>9.4258686999999994E-2</v>
      </c>
      <c r="L77" s="241">
        <f t="shared" si="38"/>
        <v>0.50736205000000001</v>
      </c>
      <c r="M77" s="240">
        <v>0.9</v>
      </c>
      <c r="N77" s="240">
        <v>1</v>
      </c>
      <c r="O77" s="240">
        <f t="shared" si="41"/>
        <v>0.9</v>
      </c>
      <c r="P77" s="225">
        <f t="shared" si="42"/>
        <v>0</v>
      </c>
      <c r="Q77" s="260">
        <f t="shared" ref="Q77:Q90" si="45">H77+P77</f>
        <v>0.50736205000000001</v>
      </c>
      <c r="R77" s="242">
        <v>0.5</v>
      </c>
      <c r="S77" s="228" t="e">
        <f>IF(DGcalcul!$I$19="yes",VLOOKUP(DGcalcul!$G$3,DGliste!$F$13:$G$19,2,0),HLOOKUP($A$74,'DGbase données'!$B$78:$E$81,3,0))</f>
        <v>#N/A</v>
      </c>
      <c r="T77" s="224">
        <f>DGbaseF2V!AA7</f>
        <v>9.4258686999999994E-2</v>
      </c>
      <c r="U77" s="241">
        <f t="shared" si="39"/>
        <v>0.50736205000000001</v>
      </c>
      <c r="V77" s="240">
        <v>0.9</v>
      </c>
      <c r="W77" s="240">
        <v>1</v>
      </c>
      <c r="X77" s="240">
        <f t="shared" si="43"/>
        <v>0.9</v>
      </c>
      <c r="Y77" s="243" t="e">
        <f t="shared" si="44"/>
        <v>#N/A</v>
      </c>
      <c r="Z77" s="244">
        <v>0</v>
      </c>
      <c r="AA77" s="228" t="e">
        <f>IF(DGcalcul!$I$19="yes",VLOOKUP(DGcalcul!$G$3,DGliste!$F$13:$G$19,2,0),HLOOKUP($A$74,'DGbase données'!$B$78:$E$81,2,0))</f>
        <v>#N/A</v>
      </c>
      <c r="AB77" s="224">
        <f>DGbaseF2V!X7</f>
        <v>0.25370590999999998</v>
      </c>
      <c r="AC77" s="231">
        <f>HLOOKUP(C77,DGbasecoll!$B$3:$K$4,2,0)</f>
        <v>19.52</v>
      </c>
      <c r="AD77" s="245">
        <v>0.187</v>
      </c>
      <c r="AE77" s="232">
        <f>DGbasevalo!C5</f>
        <v>1.1716807000000001E-3</v>
      </c>
      <c r="AF77" s="245">
        <v>0.08</v>
      </c>
      <c r="AG77" s="231">
        <f>DGbasevalo!D5</f>
        <v>0.14722304</v>
      </c>
      <c r="AH77" s="246" t="e">
        <f t="shared" ref="AH77:AH90" si="46">(1-Z77)*AA77*(AB77-AC77*AD77*AE77-AC77*AF77*AG77)</f>
        <v>#N/A</v>
      </c>
      <c r="AI77" s="234">
        <f>DGcalcul!$K$25</f>
        <v>0</v>
      </c>
      <c r="AJ77" s="234">
        <f>DGcalcul!$K$24</f>
        <v>0</v>
      </c>
      <c r="AK77" s="235">
        <f>DGbaseF2V!Y7</f>
        <v>-3.5874136E-3</v>
      </c>
      <c r="AL77" s="247">
        <f t="shared" si="40"/>
        <v>-3.5874136E-3</v>
      </c>
    </row>
    <row r="78" spans="1:38" x14ac:dyDescent="0.3">
      <c r="A78" s="216" t="s">
        <v>302</v>
      </c>
      <c r="B78" s="217" t="str">
        <f>DGcalcul!$E$19</f>
        <v>Mixed or Unknown collection</v>
      </c>
      <c r="C78" s="217" t="str">
        <f t="shared" si="13"/>
        <v>PBT Mixed or Unknown collection</v>
      </c>
      <c r="D78" s="237" t="s">
        <v>328</v>
      </c>
      <c r="E78" s="238" t="s">
        <v>342</v>
      </c>
      <c r="F78" s="220">
        <f>DGcalcul!$E$8</f>
        <v>0</v>
      </c>
      <c r="G78" s="218">
        <f>'DGbase données'!G5</f>
        <v>1.5059988E-2</v>
      </c>
      <c r="H78" s="239">
        <f t="shared" si="37"/>
        <v>1.5059988E-2</v>
      </c>
      <c r="I78" s="220">
        <f>DGcalcul!$E$8</f>
        <v>0</v>
      </c>
      <c r="J78" s="240">
        <v>0.5</v>
      </c>
      <c r="K78" s="224">
        <f>DGbaseF2V!Z8</f>
        <v>4.6315437E-4</v>
      </c>
      <c r="L78" s="241">
        <f t="shared" si="38"/>
        <v>1.5059988E-2</v>
      </c>
      <c r="M78" s="240">
        <v>0.9</v>
      </c>
      <c r="N78" s="240">
        <v>1</v>
      </c>
      <c r="O78" s="240">
        <f t="shared" si="41"/>
        <v>0.9</v>
      </c>
      <c r="P78" s="225">
        <f t="shared" si="42"/>
        <v>0</v>
      </c>
      <c r="Q78" s="260">
        <f t="shared" si="45"/>
        <v>1.5059988E-2</v>
      </c>
      <c r="R78" s="242">
        <v>0.5</v>
      </c>
      <c r="S78" s="228" t="e">
        <f>IF(DGcalcul!$I$19="yes",VLOOKUP(DGcalcul!$G$3,DGliste!$F$13:$G$19,2,0),HLOOKUP($A$74,'DGbase données'!$B$78:$E$81,3,0))</f>
        <v>#N/A</v>
      </c>
      <c r="T78" s="224">
        <f>DGbaseF2V!AA8</f>
        <v>4.6315437E-4</v>
      </c>
      <c r="U78" s="241">
        <f t="shared" si="39"/>
        <v>1.5059988E-2</v>
      </c>
      <c r="V78" s="240">
        <v>0.9</v>
      </c>
      <c r="W78" s="240">
        <v>1</v>
      </c>
      <c r="X78" s="240">
        <f t="shared" si="43"/>
        <v>0.9</v>
      </c>
      <c r="Y78" s="243" t="e">
        <f t="shared" si="44"/>
        <v>#N/A</v>
      </c>
      <c r="Z78" s="244">
        <v>0</v>
      </c>
      <c r="AA78" s="228" t="e">
        <f>IF(DGcalcul!$I$19="yes",VLOOKUP(DGcalcul!$G$3,DGliste!$F$13:$G$19,2,0),HLOOKUP($A$74,'DGbase données'!$B$78:$E$81,2,0))</f>
        <v>#N/A</v>
      </c>
      <c r="AB78" s="224">
        <f>DGbaseF2V!X8</f>
        <v>4.8975648000000004E-3</v>
      </c>
      <c r="AC78" s="231">
        <f>HLOOKUP(C78,DGbasecoll!$B$3:$K$4,2,0)</f>
        <v>19.52</v>
      </c>
      <c r="AD78" s="245">
        <v>0.187</v>
      </c>
      <c r="AE78" s="232">
        <f>DGbasevalo!C6</f>
        <v>7.9413265000000005E-5</v>
      </c>
      <c r="AF78" s="245">
        <v>0.08</v>
      </c>
      <c r="AG78" s="231">
        <f>DGbasevalo!D6</f>
        <v>5.8075829000000003E-5</v>
      </c>
      <c r="AH78" s="246" t="e">
        <f t="shared" si="46"/>
        <v>#N/A</v>
      </c>
      <c r="AI78" s="234">
        <f>DGcalcul!$K$25</f>
        <v>0</v>
      </c>
      <c r="AJ78" s="234">
        <f>DGcalcul!$K$24</f>
        <v>0</v>
      </c>
      <c r="AK78" s="235">
        <f>DGbaseF2V!Y8</f>
        <v>-1.9214072000000001E-4</v>
      </c>
      <c r="AL78" s="247">
        <f t="shared" si="40"/>
        <v>-1.9214072000000001E-4</v>
      </c>
    </row>
    <row r="79" spans="1:38" x14ac:dyDescent="0.3">
      <c r="A79" s="216" t="s">
        <v>302</v>
      </c>
      <c r="B79" s="217" t="str">
        <f>DGcalcul!$E$19</f>
        <v>Mixed or Unknown collection</v>
      </c>
      <c r="C79" s="217" t="str">
        <f t="shared" si="13"/>
        <v>PBT Mixed or Unknown collection</v>
      </c>
      <c r="D79" s="237" t="s">
        <v>329</v>
      </c>
      <c r="E79" s="238" t="s">
        <v>343</v>
      </c>
      <c r="F79" s="220">
        <f>DGcalcul!$E$8</f>
        <v>0</v>
      </c>
      <c r="G79" s="218">
        <f>'DGbase données'!G6</f>
        <v>1.1376167E-7</v>
      </c>
      <c r="H79" s="239">
        <f t="shared" si="37"/>
        <v>1.1376167E-7</v>
      </c>
      <c r="I79" s="220">
        <f>DGcalcul!$E$8</f>
        <v>0</v>
      </c>
      <c r="J79" s="240">
        <v>0.5</v>
      </c>
      <c r="K79" s="224">
        <f>DGbaseF2V!Z9</f>
        <v>4.8432121999999997E-9</v>
      </c>
      <c r="L79" s="241">
        <f t="shared" si="38"/>
        <v>1.1376167E-7</v>
      </c>
      <c r="M79" s="240">
        <v>0.9</v>
      </c>
      <c r="N79" s="240">
        <v>1</v>
      </c>
      <c r="O79" s="240">
        <f t="shared" si="41"/>
        <v>0.9</v>
      </c>
      <c r="P79" s="225">
        <f t="shared" si="42"/>
        <v>0</v>
      </c>
      <c r="Q79" s="260">
        <f t="shared" si="45"/>
        <v>1.1376167E-7</v>
      </c>
      <c r="R79" s="242">
        <v>0.5</v>
      </c>
      <c r="S79" s="228" t="e">
        <f>IF(DGcalcul!$I$19="yes",VLOOKUP(DGcalcul!$G$3,DGliste!$F$13:$G$19,2,0),HLOOKUP($A$74,'DGbase données'!$B$78:$E$81,3,0))</f>
        <v>#N/A</v>
      </c>
      <c r="T79" s="224">
        <f>DGbaseF2V!AA9</f>
        <v>4.8432121999999997E-9</v>
      </c>
      <c r="U79" s="241">
        <f t="shared" si="39"/>
        <v>1.1376167E-7</v>
      </c>
      <c r="V79" s="240">
        <v>0.9</v>
      </c>
      <c r="W79" s="240">
        <v>1</v>
      </c>
      <c r="X79" s="240">
        <f t="shared" si="43"/>
        <v>0.9</v>
      </c>
      <c r="Y79" s="243" t="e">
        <f t="shared" si="44"/>
        <v>#N/A</v>
      </c>
      <c r="Z79" s="244">
        <v>0</v>
      </c>
      <c r="AA79" s="228" t="e">
        <f>IF(DGcalcul!$I$19="yes",VLOOKUP(DGcalcul!$G$3,DGliste!$F$13:$G$19,2,0),HLOOKUP($A$74,'DGbase données'!$B$78:$E$81,2,0))</f>
        <v>#N/A</v>
      </c>
      <c r="AB79" s="224">
        <f>DGbaseF2V!X9</f>
        <v>1.4669214000000001E-7</v>
      </c>
      <c r="AC79" s="231">
        <f>HLOOKUP(C79,DGbasecoll!$B$3:$K$4,2,0)</f>
        <v>19.52</v>
      </c>
      <c r="AD79" s="245">
        <v>0.187</v>
      </c>
      <c r="AE79" s="232">
        <f>DGbasevalo!C7</f>
        <v>3.815356E-10</v>
      </c>
      <c r="AF79" s="245">
        <v>0.08</v>
      </c>
      <c r="AG79" s="231">
        <f>DGbasevalo!D7</f>
        <v>1.2179878E-9</v>
      </c>
      <c r="AH79" s="246" t="e">
        <f t="shared" si="46"/>
        <v>#N/A</v>
      </c>
      <c r="AI79" s="234">
        <f>DGcalcul!$K$25</f>
        <v>0</v>
      </c>
      <c r="AJ79" s="234">
        <f>DGcalcul!$K$24</f>
        <v>0</v>
      </c>
      <c r="AK79" s="235">
        <f>DGbaseF2V!Y9</f>
        <v>-2.2139156000000001E-8</v>
      </c>
      <c r="AL79" s="247">
        <f t="shared" si="40"/>
        <v>-2.2139156000000001E-8</v>
      </c>
    </row>
    <row r="80" spans="1:38" x14ac:dyDescent="0.3">
      <c r="A80" s="216" t="s">
        <v>302</v>
      </c>
      <c r="B80" s="217" t="str">
        <f>DGcalcul!$E$19</f>
        <v>Mixed or Unknown collection</v>
      </c>
      <c r="C80" s="217" t="str">
        <f t="shared" si="13"/>
        <v>PBT Mixed or Unknown collection</v>
      </c>
      <c r="D80" s="237" t="s">
        <v>420</v>
      </c>
      <c r="E80" s="238" t="s">
        <v>421</v>
      </c>
      <c r="F80" s="220">
        <f>DGcalcul!$E$8</f>
        <v>0</v>
      </c>
      <c r="G80" s="218">
        <f>'DGbase données'!G7</f>
        <v>1.6233761E-7</v>
      </c>
      <c r="H80" s="239">
        <f t="shared" si="37"/>
        <v>1.6233761E-7</v>
      </c>
      <c r="I80" s="220">
        <f>DGcalcul!$E$8</f>
        <v>0</v>
      </c>
      <c r="J80" s="240">
        <v>0.5</v>
      </c>
      <c r="K80" s="224">
        <f>DGbaseF2V!Z10</f>
        <v>1.2776702000000001E-9</v>
      </c>
      <c r="L80" s="241">
        <f t="shared" si="38"/>
        <v>1.6233761E-7</v>
      </c>
      <c r="M80" s="240">
        <v>0.9</v>
      </c>
      <c r="N80" s="240">
        <v>1</v>
      </c>
      <c r="O80" s="240">
        <f t="shared" si="41"/>
        <v>0.9</v>
      </c>
      <c r="P80" s="225">
        <f t="shared" si="42"/>
        <v>0</v>
      </c>
      <c r="Q80" s="260">
        <f t="shared" si="45"/>
        <v>1.6233761E-7</v>
      </c>
      <c r="R80" s="242">
        <v>0.5</v>
      </c>
      <c r="S80" s="228" t="e">
        <f>IF(DGcalcul!$I$19="yes",VLOOKUP(DGcalcul!$G$3,DGliste!$F$13:$G$19,2,0),HLOOKUP($A$74,'DGbase données'!$B$78:$E$81,3,0))</f>
        <v>#N/A</v>
      </c>
      <c r="T80" s="224">
        <f>DGbaseF2V!AA10</f>
        <v>1.2776702000000001E-9</v>
      </c>
      <c r="U80" s="241">
        <f t="shared" si="39"/>
        <v>1.6233761E-7</v>
      </c>
      <c r="V80" s="240">
        <v>0.9</v>
      </c>
      <c r="W80" s="240">
        <v>1</v>
      </c>
      <c r="X80" s="240">
        <f t="shared" si="43"/>
        <v>0.9</v>
      </c>
      <c r="Y80" s="243" t="e">
        <f t="shared" si="44"/>
        <v>#N/A</v>
      </c>
      <c r="Z80" s="244">
        <v>0</v>
      </c>
      <c r="AA80" s="228" t="e">
        <f>IF(DGcalcul!$I$19="yes",VLOOKUP(DGcalcul!$G$3,DGliste!$F$13:$G$19,2,0),HLOOKUP($A$74,'DGbase données'!$B$78:$E$81,2,0))</f>
        <v>#N/A</v>
      </c>
      <c r="AB80" s="224">
        <f>DGbaseF2V!X10</f>
        <v>7.6409497999999993E-9</v>
      </c>
      <c r="AC80" s="231">
        <f>HLOOKUP(C80,DGbasecoll!$B$3:$K$4,2,0)</f>
        <v>19.52</v>
      </c>
      <c r="AD80" s="245">
        <v>0.187</v>
      </c>
      <c r="AE80" s="232">
        <f>DGbasevalo!C8</f>
        <v>1.9881795000000001E-10</v>
      </c>
      <c r="AF80" s="245">
        <v>0.08</v>
      </c>
      <c r="AG80" s="231">
        <f>DGbasevalo!D8</f>
        <v>2.6225022999999999E-10</v>
      </c>
      <c r="AH80" s="246" t="e">
        <f t="shared" si="46"/>
        <v>#N/A</v>
      </c>
      <c r="AI80" s="234">
        <f>DGcalcul!$K$25</f>
        <v>0</v>
      </c>
      <c r="AJ80" s="234">
        <f>DGcalcul!$K$24</f>
        <v>0</v>
      </c>
      <c r="AK80" s="235">
        <f>DGbaseF2V!Y10</f>
        <v>-2.0773666000000001E-10</v>
      </c>
      <c r="AL80" s="247">
        <f t="shared" si="40"/>
        <v>-2.0773666000000001E-10</v>
      </c>
    </row>
    <row r="81" spans="1:38" x14ac:dyDescent="0.3">
      <c r="A81" s="216" t="s">
        <v>302</v>
      </c>
      <c r="B81" s="217" t="str">
        <f>DGcalcul!$E$19</f>
        <v>Mixed or Unknown collection</v>
      </c>
      <c r="C81" s="217" t="str">
        <f t="shared" si="13"/>
        <v>PBT Mixed or Unknown collection</v>
      </c>
      <c r="D81" s="237" t="s">
        <v>422</v>
      </c>
      <c r="E81" s="238" t="s">
        <v>421</v>
      </c>
      <c r="F81" s="220">
        <f>DGcalcul!$E$8</f>
        <v>0</v>
      </c>
      <c r="G81" s="218">
        <f>'DGbase données'!G8</f>
        <v>1.2424242E-8</v>
      </c>
      <c r="H81" s="239">
        <f>(1-F81)*G81</f>
        <v>1.2424242E-8</v>
      </c>
      <c r="I81" s="220">
        <f>DGcalcul!$E$8</f>
        <v>0</v>
      </c>
      <c r="J81" s="240">
        <v>0.5</v>
      </c>
      <c r="K81" s="224">
        <f>DGbaseF2V!Z11</f>
        <v>4.5129861999999999E-10</v>
      </c>
      <c r="L81" s="241">
        <f t="shared" si="38"/>
        <v>1.2424242E-8</v>
      </c>
      <c r="M81" s="240">
        <v>0.9</v>
      </c>
      <c r="N81" s="240">
        <v>1</v>
      </c>
      <c r="O81" s="240">
        <f t="shared" si="41"/>
        <v>0.9</v>
      </c>
      <c r="P81" s="225">
        <f t="shared" si="42"/>
        <v>0</v>
      </c>
      <c r="Q81" s="260">
        <f t="shared" si="45"/>
        <v>1.2424242E-8</v>
      </c>
      <c r="R81" s="242">
        <v>0.5</v>
      </c>
      <c r="S81" s="228" t="e">
        <f>IF(DGcalcul!$I$19="yes",VLOOKUP(DGcalcul!$G$3,DGliste!$F$13:$G$19,2,0),HLOOKUP($A$74,'DGbase données'!$B$78:$E$81,3,0))</f>
        <v>#N/A</v>
      </c>
      <c r="T81" s="224">
        <f>DGbaseF2V!AA11</f>
        <v>4.5129861999999999E-10</v>
      </c>
      <c r="U81" s="241">
        <f t="shared" si="39"/>
        <v>1.2424242E-8</v>
      </c>
      <c r="V81" s="240">
        <v>0.9</v>
      </c>
      <c r="W81" s="240">
        <v>1</v>
      </c>
      <c r="X81" s="240">
        <f t="shared" si="43"/>
        <v>0.9</v>
      </c>
      <c r="Y81" s="243" t="e">
        <f t="shared" si="44"/>
        <v>#N/A</v>
      </c>
      <c r="Z81" s="244">
        <v>0</v>
      </c>
      <c r="AA81" s="228" t="e">
        <f>IF(DGcalcul!$I$19="yes",VLOOKUP(DGcalcul!$G$3,DGliste!$F$13:$G$19,2,0),HLOOKUP($A$74,'DGbase données'!$B$78:$E$81,2,0))</f>
        <v>#N/A</v>
      </c>
      <c r="AB81" s="224">
        <f>DGbaseF2V!X11</f>
        <v>1.7898562999999999E-10</v>
      </c>
      <c r="AC81" s="231">
        <f>HLOOKUP(C81,DGbasecoll!$B$3:$K$4,2,0)</f>
        <v>19.52</v>
      </c>
      <c r="AD81" s="245">
        <v>0.187</v>
      </c>
      <c r="AE81" s="232">
        <f>DGbasevalo!C9</f>
        <v>1.5634214999999999E-11</v>
      </c>
      <c r="AF81" s="245">
        <v>0.08</v>
      </c>
      <c r="AG81" s="231">
        <f>DGbasevalo!D9</f>
        <v>1.3494008E-11</v>
      </c>
      <c r="AH81" s="246" t="e">
        <f t="shared" si="46"/>
        <v>#N/A</v>
      </c>
      <c r="AI81" s="234">
        <f>DGcalcul!$K$25</f>
        <v>0</v>
      </c>
      <c r="AJ81" s="234">
        <f>DGcalcul!$K$24</f>
        <v>0</v>
      </c>
      <c r="AK81" s="235">
        <f>DGbaseF2V!Y11</f>
        <v>-1.9487869E-11</v>
      </c>
      <c r="AL81" s="247">
        <f t="shared" si="40"/>
        <v>-1.9487869E-11</v>
      </c>
    </row>
    <row r="82" spans="1:38" x14ac:dyDescent="0.3">
      <c r="A82" s="216" t="s">
        <v>302</v>
      </c>
      <c r="B82" s="217" t="str">
        <f>DGcalcul!$E$19</f>
        <v>Mixed or Unknown collection</v>
      </c>
      <c r="C82" s="217" t="str">
        <f t="shared" si="13"/>
        <v>PBT Mixed or Unknown collection</v>
      </c>
      <c r="D82" s="237" t="s">
        <v>330</v>
      </c>
      <c r="E82" s="238" t="s">
        <v>344</v>
      </c>
      <c r="F82" s="220">
        <f>DGcalcul!$E$8</f>
        <v>0</v>
      </c>
      <c r="G82" s="218">
        <f>'DGbase données'!G9</f>
        <v>1.4261395E-2</v>
      </c>
      <c r="H82" s="239">
        <f t="shared" si="37"/>
        <v>1.4261395E-2</v>
      </c>
      <c r="I82" s="220">
        <f>DGcalcul!$E$8</f>
        <v>0</v>
      </c>
      <c r="J82" s="240">
        <v>0.5</v>
      </c>
      <c r="K82" s="224">
        <f>DGbaseF2V!Z12</f>
        <v>7.9813189000000001E-4</v>
      </c>
      <c r="L82" s="241">
        <f t="shared" si="38"/>
        <v>1.4261395E-2</v>
      </c>
      <c r="M82" s="240">
        <v>0.9</v>
      </c>
      <c r="N82" s="240">
        <v>1</v>
      </c>
      <c r="O82" s="240">
        <f t="shared" si="41"/>
        <v>0.9</v>
      </c>
      <c r="P82" s="225">
        <f t="shared" si="42"/>
        <v>0</v>
      </c>
      <c r="Q82" s="260">
        <f t="shared" si="45"/>
        <v>1.4261395E-2</v>
      </c>
      <c r="R82" s="242">
        <v>0.5</v>
      </c>
      <c r="S82" s="228" t="e">
        <f>IF(DGcalcul!$I$19="yes",VLOOKUP(DGcalcul!$G$3,DGliste!$F$13:$G$19,2,0),HLOOKUP($A$74,'DGbase données'!$B$78:$E$81,3,0))</f>
        <v>#N/A</v>
      </c>
      <c r="T82" s="224">
        <f>DGbaseF2V!AA12</f>
        <v>7.9813189000000001E-4</v>
      </c>
      <c r="U82" s="241">
        <f t="shared" si="39"/>
        <v>1.4261395E-2</v>
      </c>
      <c r="V82" s="240">
        <v>0.9</v>
      </c>
      <c r="W82" s="240">
        <v>1</v>
      </c>
      <c r="X82" s="240">
        <f t="shared" si="43"/>
        <v>0.9</v>
      </c>
      <c r="Y82" s="243" t="e">
        <f t="shared" si="44"/>
        <v>#N/A</v>
      </c>
      <c r="Z82" s="244">
        <v>0</v>
      </c>
      <c r="AA82" s="228" t="e">
        <f>IF(DGcalcul!$I$19="yes",VLOOKUP(DGcalcul!$G$3,DGliste!$F$13:$G$19,2,0),HLOOKUP($A$74,'DGbase données'!$B$78:$E$81,2,0))</f>
        <v>#N/A</v>
      </c>
      <c r="AB82" s="224">
        <f>DGbaseF2V!X12</f>
        <v>1.5203964E-2</v>
      </c>
      <c r="AC82" s="231">
        <f>HLOOKUP(C82,DGbasecoll!$B$3:$K$4,2,0)</f>
        <v>19.52</v>
      </c>
      <c r="AD82" s="245">
        <v>0.187</v>
      </c>
      <c r="AE82" s="232">
        <f>DGbasevalo!C10</f>
        <v>8.942492E-5</v>
      </c>
      <c r="AF82" s="245">
        <v>0.08</v>
      </c>
      <c r="AG82" s="231">
        <f>DGbasevalo!D10</f>
        <v>1.0822637E-4</v>
      </c>
      <c r="AH82" s="246" t="e">
        <f t="shared" si="46"/>
        <v>#N/A</v>
      </c>
      <c r="AI82" s="234">
        <f>DGcalcul!$K$25</f>
        <v>0</v>
      </c>
      <c r="AJ82" s="234">
        <f>DGcalcul!$K$24</f>
        <v>0</v>
      </c>
      <c r="AK82" s="235">
        <f>DGbaseF2V!Y12</f>
        <v>-2.8440295E-4</v>
      </c>
      <c r="AL82" s="247">
        <f t="shared" si="40"/>
        <v>-2.8440295E-4</v>
      </c>
    </row>
    <row r="83" spans="1:38" x14ac:dyDescent="0.3">
      <c r="A83" s="216" t="s">
        <v>302</v>
      </c>
      <c r="B83" s="217" t="str">
        <f>DGcalcul!$E$19</f>
        <v>Mixed or Unknown collection</v>
      </c>
      <c r="C83" s="217" t="str">
        <f t="shared" si="13"/>
        <v>PBT Mixed or Unknown collection</v>
      </c>
      <c r="D83" s="237" t="s">
        <v>331</v>
      </c>
      <c r="E83" s="238" t="s">
        <v>345</v>
      </c>
      <c r="F83" s="220">
        <f>DGcalcul!$E$8</f>
        <v>0</v>
      </c>
      <c r="G83" s="218">
        <f>'DGbase données'!G10</f>
        <v>1.0438343999999999E-3</v>
      </c>
      <c r="H83" s="239">
        <f t="shared" si="37"/>
        <v>1.0438343999999999E-3</v>
      </c>
      <c r="I83" s="220">
        <f>DGcalcul!$E$8</f>
        <v>0</v>
      </c>
      <c r="J83" s="240">
        <v>0.5</v>
      </c>
      <c r="K83" s="224">
        <f>DGbaseF2V!Z13</f>
        <v>1.2932781999999999E-4</v>
      </c>
      <c r="L83" s="241">
        <f t="shared" si="38"/>
        <v>1.0438343999999999E-3</v>
      </c>
      <c r="M83" s="240">
        <v>0.9</v>
      </c>
      <c r="N83" s="240">
        <v>1</v>
      </c>
      <c r="O83" s="240">
        <f t="shared" si="41"/>
        <v>0.9</v>
      </c>
      <c r="P83" s="225">
        <f t="shared" si="42"/>
        <v>0</v>
      </c>
      <c r="Q83" s="260">
        <f t="shared" si="45"/>
        <v>1.0438343999999999E-3</v>
      </c>
      <c r="R83" s="242">
        <v>0.5</v>
      </c>
      <c r="S83" s="228" t="e">
        <f>IF(DGcalcul!$I$19="yes",VLOOKUP(DGcalcul!$G$3,DGliste!$F$13:$G$19,2,0),HLOOKUP($A$74,'DGbase données'!$B$78:$E$81,3,0))</f>
        <v>#N/A</v>
      </c>
      <c r="T83" s="224">
        <f>DGbaseF2V!AA13</f>
        <v>1.2932781999999999E-4</v>
      </c>
      <c r="U83" s="241">
        <f t="shared" si="39"/>
        <v>1.0438343999999999E-3</v>
      </c>
      <c r="V83" s="240">
        <v>0.9</v>
      </c>
      <c r="W83" s="240">
        <v>1</v>
      </c>
      <c r="X83" s="240">
        <f t="shared" si="43"/>
        <v>0.9</v>
      </c>
      <c r="Y83" s="243" t="e">
        <f t="shared" si="44"/>
        <v>#N/A</v>
      </c>
      <c r="Z83" s="244">
        <v>0</v>
      </c>
      <c r="AA83" s="228" t="e">
        <f>IF(DGcalcul!$I$19="yes",VLOOKUP(DGcalcul!$G$3,DGliste!$F$13:$G$19,2,0),HLOOKUP($A$74,'DGbase données'!$B$78:$E$81,2,0))</f>
        <v>#N/A</v>
      </c>
      <c r="AB83" s="224">
        <f>DGbaseF2V!X13</f>
        <v>3.7257835000000002E-7</v>
      </c>
      <c r="AC83" s="231">
        <f>HLOOKUP(C83,DGbasecoll!$B$3:$K$4,2,0)</f>
        <v>19.52</v>
      </c>
      <c r="AD83" s="245">
        <v>0.187</v>
      </c>
      <c r="AE83" s="232">
        <f>DGbasevalo!C11</f>
        <v>2.5191956000000001E-6</v>
      </c>
      <c r="AF83" s="245">
        <v>0.08</v>
      </c>
      <c r="AG83" s="231">
        <f>DGbasevalo!D11</f>
        <v>5.4348756999999998E-6</v>
      </c>
      <c r="AH83" s="246" t="e">
        <f t="shared" si="46"/>
        <v>#N/A</v>
      </c>
      <c r="AI83" s="234">
        <f>DGcalcul!$K$25</f>
        <v>0</v>
      </c>
      <c r="AJ83" s="234">
        <f>DGcalcul!$K$24</f>
        <v>0</v>
      </c>
      <c r="AK83" s="235">
        <f>DGbaseF2V!Y13</f>
        <v>-3.3771856999999997E-5</v>
      </c>
      <c r="AL83" s="247">
        <f t="shared" si="40"/>
        <v>-3.3771856999999997E-5</v>
      </c>
    </row>
    <row r="84" spans="1:38" x14ac:dyDescent="0.3">
      <c r="A84" s="216" t="s">
        <v>302</v>
      </c>
      <c r="B84" s="217" t="str">
        <f>DGcalcul!$E$19</f>
        <v>Mixed or Unknown collection</v>
      </c>
      <c r="C84" s="217" t="str">
        <f t="shared" si="13"/>
        <v>PBT Mixed or Unknown collection</v>
      </c>
      <c r="D84" s="237" t="s">
        <v>423</v>
      </c>
      <c r="E84" s="238" t="s">
        <v>424</v>
      </c>
      <c r="F84" s="220">
        <f>DGcalcul!$E$8</f>
        <v>0</v>
      </c>
      <c r="G84" s="218">
        <f>'DGbase données'!G11</f>
        <v>2.4783839000000001E-3</v>
      </c>
      <c r="H84" s="239">
        <f t="shared" si="37"/>
        <v>2.4783839000000001E-3</v>
      </c>
      <c r="I84" s="220">
        <f>DGcalcul!$E$8</f>
        <v>0</v>
      </c>
      <c r="J84" s="240">
        <v>0.5</v>
      </c>
      <c r="K84" s="224">
        <f>DGbaseF2V!Z14</f>
        <v>1.4404969E-4</v>
      </c>
      <c r="L84" s="241">
        <f t="shared" si="38"/>
        <v>2.4783839000000001E-3</v>
      </c>
      <c r="M84" s="240">
        <v>0.9</v>
      </c>
      <c r="N84" s="240">
        <v>1</v>
      </c>
      <c r="O84" s="240">
        <f t="shared" si="41"/>
        <v>0.9</v>
      </c>
      <c r="P84" s="225">
        <f t="shared" si="42"/>
        <v>0</v>
      </c>
      <c r="Q84" s="260">
        <f t="shared" si="45"/>
        <v>2.4783839000000001E-3</v>
      </c>
      <c r="R84" s="242">
        <v>0.5</v>
      </c>
      <c r="S84" s="228" t="e">
        <f>IF(DGcalcul!$I$19="yes",VLOOKUP(DGcalcul!$G$3,DGliste!$F$13:$G$19,2,0),HLOOKUP($A$74,'DGbase données'!$B$78:$E$81,3,0))</f>
        <v>#N/A</v>
      </c>
      <c r="T84" s="224">
        <f>DGbaseF2V!AA14</f>
        <v>1.4404969E-4</v>
      </c>
      <c r="U84" s="241">
        <f t="shared" si="39"/>
        <v>2.4783839000000001E-3</v>
      </c>
      <c r="V84" s="240">
        <v>0.9</v>
      </c>
      <c r="W84" s="240">
        <v>1</v>
      </c>
      <c r="X84" s="240">
        <f t="shared" si="43"/>
        <v>0.9</v>
      </c>
      <c r="Y84" s="243" t="e">
        <f t="shared" si="44"/>
        <v>#N/A</v>
      </c>
      <c r="Z84" s="244">
        <v>0</v>
      </c>
      <c r="AA84" s="228" t="e">
        <f>IF(DGcalcul!$I$19="yes",VLOOKUP(DGcalcul!$G$3,DGliste!$F$13:$G$19,2,0),HLOOKUP($A$74,'DGbase données'!$B$78:$E$81,2,0))</f>
        <v>#N/A</v>
      </c>
      <c r="AB84" s="224">
        <f>DGbaseF2V!X14</f>
        <v>1.5383413E-3</v>
      </c>
      <c r="AC84" s="231">
        <f>HLOOKUP(C84,DGbasecoll!$B$3:$K$4,2,0)</f>
        <v>19.52</v>
      </c>
      <c r="AD84" s="245">
        <v>0.187</v>
      </c>
      <c r="AE84" s="232">
        <f>DGbasevalo!C12</f>
        <v>1.6508956E-5</v>
      </c>
      <c r="AF84" s="245">
        <v>0.08</v>
      </c>
      <c r="AG84" s="231">
        <f>DGbasevalo!D12</f>
        <v>2.8546766999999999E-5</v>
      </c>
      <c r="AH84" s="246" t="e">
        <f t="shared" si="46"/>
        <v>#N/A</v>
      </c>
      <c r="AI84" s="234">
        <f>DGcalcul!$K$25</f>
        <v>0</v>
      </c>
      <c r="AJ84" s="234">
        <f>DGcalcul!$K$24</f>
        <v>0</v>
      </c>
      <c r="AK84" s="235">
        <f>DGbaseF2V!Y14</f>
        <v>-5.9943874000000003E-5</v>
      </c>
      <c r="AL84" s="247">
        <f t="shared" si="40"/>
        <v>-5.9943874000000003E-5</v>
      </c>
    </row>
    <row r="85" spans="1:38" x14ac:dyDescent="0.3">
      <c r="A85" s="216" t="s">
        <v>302</v>
      </c>
      <c r="B85" s="217" t="str">
        <f>DGcalcul!$E$19</f>
        <v>Mixed or Unknown collection</v>
      </c>
      <c r="C85" s="217" t="str">
        <f t="shared" si="13"/>
        <v>PBT Mixed or Unknown collection</v>
      </c>
      <c r="D85" s="237" t="s">
        <v>425</v>
      </c>
      <c r="E85" s="238" t="s">
        <v>426</v>
      </c>
      <c r="F85" s="220">
        <f>DGcalcul!$E$8</f>
        <v>0</v>
      </c>
      <c r="G85" s="218">
        <f>'DGbase données'!G12</f>
        <v>2.4657488000000002E-2</v>
      </c>
      <c r="H85" s="239">
        <f t="shared" si="37"/>
        <v>2.4657488000000002E-2</v>
      </c>
      <c r="I85" s="220">
        <f>DGcalcul!$E$8</f>
        <v>0</v>
      </c>
      <c r="J85" s="240">
        <v>0.5</v>
      </c>
      <c r="K85" s="224">
        <f>DGbaseF2V!Z15</f>
        <v>1.2871429999999999E-3</v>
      </c>
      <c r="L85" s="241">
        <f t="shared" si="38"/>
        <v>2.4657488000000002E-2</v>
      </c>
      <c r="M85" s="240">
        <v>0.9</v>
      </c>
      <c r="N85" s="240">
        <v>1</v>
      </c>
      <c r="O85" s="240">
        <f t="shared" si="41"/>
        <v>0.9</v>
      </c>
      <c r="P85" s="225">
        <f t="shared" si="42"/>
        <v>0</v>
      </c>
      <c r="Q85" s="260">
        <f t="shared" si="45"/>
        <v>2.4657488000000002E-2</v>
      </c>
      <c r="R85" s="242">
        <v>0.5</v>
      </c>
      <c r="S85" s="228" t="e">
        <f>IF(DGcalcul!$I$19="yes",VLOOKUP(DGcalcul!$G$3,DGliste!$F$13:$G$19,2,0),HLOOKUP($A$74,'DGbase données'!$B$78:$E$81,3,0))</f>
        <v>#N/A</v>
      </c>
      <c r="T85" s="224">
        <f>DGbaseF2V!AA15</f>
        <v>1.2871429999999999E-3</v>
      </c>
      <c r="U85" s="241">
        <f t="shared" si="39"/>
        <v>2.4657488000000002E-2</v>
      </c>
      <c r="V85" s="240">
        <v>0.9</v>
      </c>
      <c r="W85" s="240">
        <v>1</v>
      </c>
      <c r="X85" s="240">
        <f t="shared" si="43"/>
        <v>0.9</v>
      </c>
      <c r="Y85" s="243" t="e">
        <f t="shared" si="44"/>
        <v>#N/A</v>
      </c>
      <c r="Z85" s="244">
        <v>0</v>
      </c>
      <c r="AA85" s="228" t="e">
        <f>IF(DGcalcul!$I$19="yes",VLOOKUP(DGcalcul!$G$3,DGliste!$F$13:$G$19,2,0),HLOOKUP($A$74,'DGbase données'!$B$78:$E$81,2,0))</f>
        <v>#N/A</v>
      </c>
      <c r="AB85" s="224">
        <f>DGbaseF2V!X15</f>
        <v>1.5909374E-2</v>
      </c>
      <c r="AC85" s="231">
        <f>HLOOKUP(C85,DGbasecoll!$B$3:$K$4,2,0)</f>
        <v>19.52</v>
      </c>
      <c r="AD85" s="245">
        <v>0.187</v>
      </c>
      <c r="AE85" s="232">
        <f>DGbasevalo!C13</f>
        <v>1.7353508999999999E-4</v>
      </c>
      <c r="AF85" s="245">
        <v>0.08</v>
      </c>
      <c r="AG85" s="231">
        <f>DGbasevalo!D13</f>
        <v>2.1237668000000001E-4</v>
      </c>
      <c r="AH85" s="246" t="e">
        <f t="shared" si="46"/>
        <v>#N/A</v>
      </c>
      <c r="AI85" s="234">
        <f>DGcalcul!$K$25</f>
        <v>0</v>
      </c>
      <c r="AJ85" s="234">
        <f>DGcalcul!$K$24</f>
        <v>0</v>
      </c>
      <c r="AK85" s="235">
        <f>DGbaseF2V!Y15</f>
        <v>-6.5510446999999996E-4</v>
      </c>
      <c r="AL85" s="247">
        <f t="shared" si="40"/>
        <v>-6.5510446999999996E-4</v>
      </c>
    </row>
    <row r="86" spans="1:38" x14ac:dyDescent="0.3">
      <c r="A86" s="216" t="s">
        <v>302</v>
      </c>
      <c r="B86" s="217" t="str">
        <f>DGcalcul!$E$19</f>
        <v>Mixed or Unknown collection</v>
      </c>
      <c r="C86" s="217" t="str">
        <f t="shared" si="13"/>
        <v>PBT Mixed or Unknown collection</v>
      </c>
      <c r="D86" s="237" t="s">
        <v>427</v>
      </c>
      <c r="E86" s="238" t="s">
        <v>428</v>
      </c>
      <c r="F86" s="220">
        <f>DGcalcul!$E$8</f>
        <v>0</v>
      </c>
      <c r="G86" s="218">
        <f>'DGbase données'!G13</f>
        <v>12.845972100000001</v>
      </c>
      <c r="H86" s="239">
        <f t="shared" si="37"/>
        <v>12.845972100000001</v>
      </c>
      <c r="I86" s="220">
        <f>DGcalcul!$E$8</f>
        <v>0</v>
      </c>
      <c r="J86" s="240">
        <v>0.5</v>
      </c>
      <c r="K86" s="224">
        <f>DGbaseF2V!Z16</f>
        <v>0.54138684000000004</v>
      </c>
      <c r="L86" s="241">
        <f t="shared" si="38"/>
        <v>12.845972100000001</v>
      </c>
      <c r="M86" s="240">
        <v>0.9</v>
      </c>
      <c r="N86" s="240">
        <v>1</v>
      </c>
      <c r="O86" s="240">
        <f t="shared" si="41"/>
        <v>0.9</v>
      </c>
      <c r="P86" s="225">
        <f t="shared" si="42"/>
        <v>0</v>
      </c>
      <c r="Q86" s="260">
        <f t="shared" si="45"/>
        <v>12.845972100000001</v>
      </c>
      <c r="R86" s="242">
        <v>0.5</v>
      </c>
      <c r="S86" s="228" t="e">
        <f>IF(DGcalcul!$I$19="yes",VLOOKUP(DGcalcul!$G$3,DGliste!$F$13:$G$19,2,0),HLOOKUP($A$74,'DGbase données'!$B$78:$E$81,3,0))</f>
        <v>#N/A</v>
      </c>
      <c r="T86" s="224">
        <f>DGbaseF2V!AA16</f>
        <v>0.54138684000000004</v>
      </c>
      <c r="U86" s="241">
        <f t="shared" si="39"/>
        <v>12.845972100000001</v>
      </c>
      <c r="V86" s="240">
        <v>0.9</v>
      </c>
      <c r="W86" s="240">
        <v>1</v>
      </c>
      <c r="X86" s="240">
        <f t="shared" si="43"/>
        <v>0.9</v>
      </c>
      <c r="Y86" s="243" t="e">
        <f t="shared" si="44"/>
        <v>#N/A</v>
      </c>
      <c r="Z86" s="244">
        <v>0</v>
      </c>
      <c r="AA86" s="228" t="e">
        <f>IF(DGcalcul!$I$19="yes",VLOOKUP(DGcalcul!$G$3,DGliste!$F$13:$G$19,2,0),HLOOKUP($A$74,'DGbase données'!$B$78:$E$81,2,0))</f>
        <v>#N/A</v>
      </c>
      <c r="AB86" s="224">
        <f>DGbaseF2V!X16</f>
        <v>4.7172385999999999</v>
      </c>
      <c r="AC86" s="231">
        <f>HLOOKUP(C86,DGbasecoll!$B$3:$K$4,2,0)</f>
        <v>19.52</v>
      </c>
      <c r="AD86" s="245">
        <v>0.187</v>
      </c>
      <c r="AE86" s="232">
        <f>DGbasevalo!C14</f>
        <v>0.42162807000000002</v>
      </c>
      <c r="AF86" s="245">
        <v>0.08</v>
      </c>
      <c r="AG86" s="231">
        <f>DGbasevalo!D14</f>
        <v>0.69846766999999998</v>
      </c>
      <c r="AH86" s="246" t="e">
        <f t="shared" si="46"/>
        <v>#N/A</v>
      </c>
      <c r="AI86" s="234">
        <f>DGcalcul!$K$25</f>
        <v>0</v>
      </c>
      <c r="AJ86" s="234">
        <f>DGcalcul!$K$24</f>
        <v>0</v>
      </c>
      <c r="AK86" s="235">
        <f>DGbaseF2V!Y16</f>
        <v>-0.97420434</v>
      </c>
      <c r="AL86" s="247">
        <f t="shared" si="40"/>
        <v>-0.97420434</v>
      </c>
    </row>
    <row r="87" spans="1:38" x14ac:dyDescent="0.3">
      <c r="A87" s="216" t="s">
        <v>302</v>
      </c>
      <c r="B87" s="217" t="str">
        <f>DGcalcul!$E$19</f>
        <v>Mixed or Unknown collection</v>
      </c>
      <c r="C87" s="217" t="str">
        <f t="shared" si="13"/>
        <v>PBT Mixed or Unknown collection</v>
      </c>
      <c r="D87" s="237" t="s">
        <v>429</v>
      </c>
      <c r="E87" s="238" t="s">
        <v>430</v>
      </c>
      <c r="F87" s="220">
        <f>DGcalcul!$E$8</f>
        <v>0</v>
      </c>
      <c r="G87" s="218">
        <f>'DGbase données'!G14</f>
        <v>10.916639999999999</v>
      </c>
      <c r="H87" s="239">
        <f t="shared" si="37"/>
        <v>10.916639999999999</v>
      </c>
      <c r="I87" s="220">
        <f>DGcalcul!$E$8</f>
        <v>0</v>
      </c>
      <c r="J87" s="240">
        <v>0.5</v>
      </c>
      <c r="K87" s="224">
        <f>DGbaseF2V!Z17</f>
        <v>0.60284764000000002</v>
      </c>
      <c r="L87" s="241">
        <f t="shared" si="38"/>
        <v>10.916639999999999</v>
      </c>
      <c r="M87" s="240">
        <v>0.9</v>
      </c>
      <c r="N87" s="240">
        <v>1</v>
      </c>
      <c r="O87" s="240">
        <f t="shared" si="41"/>
        <v>0.9</v>
      </c>
      <c r="P87" s="225">
        <f t="shared" si="42"/>
        <v>0</v>
      </c>
      <c r="Q87" s="260">
        <f t="shared" si="45"/>
        <v>10.916639999999999</v>
      </c>
      <c r="R87" s="242">
        <v>0.5</v>
      </c>
      <c r="S87" s="228" t="e">
        <f>IF(DGcalcul!$I$19="yes",VLOOKUP(DGcalcul!$G$3,DGliste!$F$13:$G$19,2,0),HLOOKUP($A$74,'DGbase données'!$B$78:$E$81,3,0))</f>
        <v>#N/A</v>
      </c>
      <c r="T87" s="224">
        <f>DGbaseF2V!AA17</f>
        <v>0.60284764000000002</v>
      </c>
      <c r="U87" s="241">
        <f t="shared" si="39"/>
        <v>10.916639999999999</v>
      </c>
      <c r="V87" s="240">
        <v>0.9</v>
      </c>
      <c r="W87" s="240">
        <v>1</v>
      </c>
      <c r="X87" s="240">
        <f t="shared" si="43"/>
        <v>0.9</v>
      </c>
      <c r="Y87" s="243" t="e">
        <f t="shared" si="44"/>
        <v>#N/A</v>
      </c>
      <c r="Z87" s="244">
        <v>0</v>
      </c>
      <c r="AA87" s="228" t="e">
        <f>IF(DGcalcul!$I$19="yes",VLOOKUP(DGcalcul!$G$3,DGliste!$F$13:$G$19,2,0),HLOOKUP($A$74,'DGbase données'!$B$78:$E$81,2,0))</f>
        <v>#N/A</v>
      </c>
      <c r="AB87" s="224">
        <f>DGbaseF2V!X17</f>
        <v>0</v>
      </c>
      <c r="AC87" s="231">
        <f>HLOOKUP(C87,DGbasecoll!$B$3:$K$4,2,0)</f>
        <v>19.52</v>
      </c>
      <c r="AD87" s="245">
        <v>0.187</v>
      </c>
      <c r="AE87" s="232">
        <f>DGbasevalo!C15</f>
        <v>4.2297600999999997E-2</v>
      </c>
      <c r="AF87" s="245">
        <v>0.08</v>
      </c>
      <c r="AG87" s="231">
        <f>DGbasevalo!D15</f>
        <v>0.11007992</v>
      </c>
      <c r="AH87" s="246" t="e">
        <f t="shared" si="46"/>
        <v>#N/A</v>
      </c>
      <c r="AI87" s="234">
        <f>DGcalcul!$K$25</f>
        <v>0</v>
      </c>
      <c r="AJ87" s="234">
        <f>DGcalcul!$K$24</f>
        <v>0</v>
      </c>
      <c r="AK87" s="235">
        <f>DGbaseF2V!Y17</f>
        <v>0</v>
      </c>
      <c r="AL87" s="247">
        <f t="shared" si="40"/>
        <v>0</v>
      </c>
    </row>
    <row r="88" spans="1:38" x14ac:dyDescent="0.3">
      <c r="A88" s="216" t="s">
        <v>302</v>
      </c>
      <c r="B88" s="217" t="str">
        <f>DGcalcul!$E$19</f>
        <v>Mixed or Unknown collection</v>
      </c>
      <c r="C88" s="217" t="str">
        <f t="shared" si="13"/>
        <v>PBT Mixed or Unknown collection</v>
      </c>
      <c r="D88" s="237" t="s">
        <v>332</v>
      </c>
      <c r="E88" s="238" t="s">
        <v>431</v>
      </c>
      <c r="F88" s="220">
        <f>DGcalcul!$E$8</f>
        <v>0</v>
      </c>
      <c r="G88" s="218">
        <f>'DGbase données'!G15</f>
        <v>4.8100994999999998</v>
      </c>
      <c r="H88" s="239">
        <f t="shared" si="37"/>
        <v>4.8100994999999998</v>
      </c>
      <c r="I88" s="220">
        <f>DGcalcul!$E$8</f>
        <v>0</v>
      </c>
      <c r="J88" s="240">
        <v>0.5</v>
      </c>
      <c r="K88" s="224">
        <f>DGbaseF2V!Z18</f>
        <v>7.3283254000000006E-2</v>
      </c>
      <c r="L88" s="241">
        <f t="shared" si="38"/>
        <v>4.8100994999999998</v>
      </c>
      <c r="M88" s="240">
        <v>0.9</v>
      </c>
      <c r="N88" s="240">
        <v>1</v>
      </c>
      <c r="O88" s="240">
        <f t="shared" si="41"/>
        <v>0.9</v>
      </c>
      <c r="P88" s="225">
        <f t="shared" si="42"/>
        <v>0</v>
      </c>
      <c r="Q88" s="260">
        <f t="shared" si="45"/>
        <v>4.8100994999999998</v>
      </c>
      <c r="R88" s="242">
        <v>0.5</v>
      </c>
      <c r="S88" s="228" t="e">
        <f>IF(DGcalcul!$I$19="yes",VLOOKUP(DGcalcul!$G$3,DGliste!$F$13:$G$19,2,0),HLOOKUP($A$74,'DGbase données'!$B$78:$E$81,3,0))</f>
        <v>#N/A</v>
      </c>
      <c r="T88" s="224">
        <f>DGbaseF2V!AA18</f>
        <v>7.3283254000000006E-2</v>
      </c>
      <c r="U88" s="241">
        <f t="shared" si="39"/>
        <v>4.8100994999999998</v>
      </c>
      <c r="V88" s="240">
        <v>0.9</v>
      </c>
      <c r="W88" s="240">
        <v>1</v>
      </c>
      <c r="X88" s="240">
        <f t="shared" si="43"/>
        <v>0.9</v>
      </c>
      <c r="Y88" s="243" t="e">
        <f t="shared" si="44"/>
        <v>#N/A</v>
      </c>
      <c r="Z88" s="244">
        <v>0</v>
      </c>
      <c r="AA88" s="228" t="e">
        <f>IF(DGcalcul!$I$19="yes",VLOOKUP(DGcalcul!$G$3,DGliste!$F$13:$G$19,2,0),HLOOKUP($A$74,'DGbase données'!$B$78:$E$81,2,0))</f>
        <v>#N/A</v>
      </c>
      <c r="AB88" s="224">
        <f>DGbaseF2V!X18</f>
        <v>-0.15971267</v>
      </c>
      <c r="AC88" s="231">
        <f>HLOOKUP(C88,DGbasecoll!$B$3:$K$4,2,0)</f>
        <v>19.52</v>
      </c>
      <c r="AD88" s="245">
        <v>0.187</v>
      </c>
      <c r="AE88" s="232">
        <f>DGbasevalo!C16</f>
        <v>9.3119741999999998E-4</v>
      </c>
      <c r="AF88" s="245">
        <v>0.08</v>
      </c>
      <c r="AG88" s="231">
        <f>DGbasevalo!D16</f>
        <v>7.6093280000000003E-3</v>
      </c>
      <c r="AH88" s="246" t="e">
        <f t="shared" si="46"/>
        <v>#N/A</v>
      </c>
      <c r="AI88" s="234">
        <f>DGcalcul!$K$25</f>
        <v>0</v>
      </c>
      <c r="AJ88" s="234">
        <f>DGcalcul!$K$24</f>
        <v>0</v>
      </c>
      <c r="AK88" s="235">
        <f>DGbaseF2V!Y18</f>
        <v>-4.3465658000000004E-3</v>
      </c>
      <c r="AL88" s="247">
        <f t="shared" si="40"/>
        <v>-4.3465658000000004E-3</v>
      </c>
    </row>
    <row r="89" spans="1:38" x14ac:dyDescent="0.3">
      <c r="A89" s="216" t="s">
        <v>302</v>
      </c>
      <c r="B89" s="217" t="str">
        <f>DGcalcul!$E$19</f>
        <v>Mixed or Unknown collection</v>
      </c>
      <c r="C89" s="217" t="str">
        <f t="shared" ref="C89:C107" si="47">CONCATENATE(A89," ",B89)</f>
        <v>PBT Mixed or Unknown collection</v>
      </c>
      <c r="D89" s="237" t="s">
        <v>432</v>
      </c>
      <c r="E89" s="238" t="s">
        <v>347</v>
      </c>
      <c r="F89" s="220">
        <f>DGcalcul!$E$8</f>
        <v>0</v>
      </c>
      <c r="G89" s="218">
        <f>'DGbase données'!G16</f>
        <v>17.238454000000001</v>
      </c>
      <c r="H89" s="239">
        <f t="shared" si="37"/>
        <v>17.238454000000001</v>
      </c>
      <c r="I89" s="220">
        <f>DGcalcul!$E$8</f>
        <v>0</v>
      </c>
      <c r="J89" s="240">
        <v>0.5</v>
      </c>
      <c r="K89" s="224">
        <f>DGbaseF2V!Z19</f>
        <v>2.4700552999999998</v>
      </c>
      <c r="L89" s="241">
        <f t="shared" si="38"/>
        <v>17.238454000000001</v>
      </c>
      <c r="M89" s="240">
        <v>0.9</v>
      </c>
      <c r="N89" s="240">
        <v>1</v>
      </c>
      <c r="O89" s="240">
        <f t="shared" si="41"/>
        <v>0.9</v>
      </c>
      <c r="P89" s="225">
        <f t="shared" si="42"/>
        <v>0</v>
      </c>
      <c r="Q89" s="260">
        <f t="shared" si="45"/>
        <v>17.238454000000001</v>
      </c>
      <c r="R89" s="242">
        <v>0.5</v>
      </c>
      <c r="S89" s="228" t="e">
        <f>IF(DGcalcul!$I$19="yes",VLOOKUP(DGcalcul!$G$3,DGliste!$F$13:$G$19,2,0),HLOOKUP($A$74,'DGbase données'!$B$78:$E$81,3,0))</f>
        <v>#N/A</v>
      </c>
      <c r="T89" s="224">
        <f>DGbaseF2V!AA19</f>
        <v>2.4700552999999998</v>
      </c>
      <c r="U89" s="241">
        <f t="shared" si="39"/>
        <v>17.238454000000001</v>
      </c>
      <c r="V89" s="240">
        <v>0.9</v>
      </c>
      <c r="W89" s="240">
        <v>1</v>
      </c>
      <c r="X89" s="240">
        <f t="shared" si="43"/>
        <v>0.9</v>
      </c>
      <c r="Y89" s="243" t="e">
        <f t="shared" si="44"/>
        <v>#N/A</v>
      </c>
      <c r="Z89" s="244">
        <v>0</v>
      </c>
      <c r="AA89" s="228" t="e">
        <f>IF(DGcalcul!$I$19="yes",VLOOKUP(DGcalcul!$G$3,DGliste!$F$13:$G$19,2,0),HLOOKUP($A$74,'DGbase données'!$B$78:$E$81,2,0))</f>
        <v>#N/A</v>
      </c>
      <c r="AB89" s="224">
        <f>DGbaseF2V!X19</f>
        <v>32.439762000000002</v>
      </c>
      <c r="AC89" s="231">
        <f>HLOOKUP(C89,DGbasecoll!$B$3:$K$4,2,0)</f>
        <v>19.52</v>
      </c>
      <c r="AD89" s="245">
        <v>0.187</v>
      </c>
      <c r="AE89" s="232">
        <f>DGbasevalo!C17</f>
        <v>1.1585103000000001</v>
      </c>
      <c r="AF89" s="245">
        <v>0.08</v>
      </c>
      <c r="AG89" s="231">
        <f>DGbasevalo!D17</f>
        <v>3.2057147000000001</v>
      </c>
      <c r="AH89" s="246" t="e">
        <f t="shared" si="46"/>
        <v>#N/A</v>
      </c>
      <c r="AI89" s="234">
        <f>DGcalcul!$K$25</f>
        <v>0</v>
      </c>
      <c r="AJ89" s="234">
        <f>DGcalcul!$K$24</f>
        <v>0</v>
      </c>
      <c r="AK89" s="235">
        <f>DGbaseF2V!Y19</f>
        <v>-1.1173516999999999</v>
      </c>
      <c r="AL89" s="247">
        <f t="shared" si="40"/>
        <v>-1.1173516999999999</v>
      </c>
    </row>
    <row r="90" spans="1:38" x14ac:dyDescent="0.3">
      <c r="A90" s="216" t="s">
        <v>302</v>
      </c>
      <c r="B90" s="217" t="str">
        <f>DGcalcul!$E$19</f>
        <v>Mixed or Unknown collection</v>
      </c>
      <c r="C90" s="217" t="str">
        <f t="shared" si="47"/>
        <v>PBT Mixed or Unknown collection</v>
      </c>
      <c r="D90" s="248" t="s">
        <v>334</v>
      </c>
      <c r="E90" s="249" t="s">
        <v>348</v>
      </c>
      <c r="F90" s="220">
        <f>DGcalcul!$E$8</f>
        <v>0</v>
      </c>
      <c r="G90" s="218">
        <f>'DGbase données'!G17</f>
        <v>2.6530564000000001E-5</v>
      </c>
      <c r="H90" s="250">
        <f t="shared" si="37"/>
        <v>2.6530564000000001E-5</v>
      </c>
      <c r="I90" s="220">
        <f>DGcalcul!$E$8</f>
        <v>0</v>
      </c>
      <c r="J90" s="240">
        <v>0.5</v>
      </c>
      <c r="K90" s="224">
        <f>DGbaseF2V!Z20</f>
        <v>3.7907655999999999E-7</v>
      </c>
      <c r="L90" s="248">
        <f t="shared" si="38"/>
        <v>2.6530564000000001E-5</v>
      </c>
      <c r="M90" s="251">
        <v>0.9</v>
      </c>
      <c r="N90" s="251">
        <v>1</v>
      </c>
      <c r="O90" s="251">
        <f t="shared" si="41"/>
        <v>0.9</v>
      </c>
      <c r="P90" s="225">
        <f t="shared" si="42"/>
        <v>0</v>
      </c>
      <c r="Q90" s="268">
        <f t="shared" si="45"/>
        <v>2.6530564000000001E-5</v>
      </c>
      <c r="R90" s="252">
        <v>0.5</v>
      </c>
      <c r="S90" s="228" t="e">
        <f>IF(DGcalcul!$I$19="yes",VLOOKUP(DGcalcul!$G$3,DGliste!$F$13:$G$19,2,0),HLOOKUP($A$74,'DGbase données'!$B$78:$E$81,3,0))</f>
        <v>#N/A</v>
      </c>
      <c r="T90" s="224">
        <f>DGbaseF2V!AA20</f>
        <v>3.7907655999999999E-7</v>
      </c>
      <c r="U90" s="248">
        <f t="shared" si="39"/>
        <v>2.6530564000000001E-5</v>
      </c>
      <c r="V90" s="251">
        <v>0.9</v>
      </c>
      <c r="W90" s="251">
        <v>1</v>
      </c>
      <c r="X90" s="251">
        <f t="shared" si="43"/>
        <v>0.9</v>
      </c>
      <c r="Y90" s="253" t="e">
        <f t="shared" si="44"/>
        <v>#N/A</v>
      </c>
      <c r="Z90" s="254">
        <v>0</v>
      </c>
      <c r="AA90" s="228" t="e">
        <f>IF(DGcalcul!$I$19="yes",VLOOKUP(DGcalcul!$G$3,DGliste!$F$13:$G$19,2,0),HLOOKUP($A$74,'DGbase données'!$B$78:$E$81,2,0))</f>
        <v>#N/A</v>
      </c>
      <c r="AB90" s="224">
        <f>DGbaseF2V!X20</f>
        <v>7.4376084999999994E-8</v>
      </c>
      <c r="AC90" s="231">
        <f>HLOOKUP(C90,DGbasecoll!$B$3:$K$4,2,0)</f>
        <v>19.52</v>
      </c>
      <c r="AD90" s="255">
        <v>0.187</v>
      </c>
      <c r="AE90" s="232">
        <f>DGbasevalo!C18</f>
        <v>9.4112040000000002E-8</v>
      </c>
      <c r="AF90" s="255">
        <v>0.08</v>
      </c>
      <c r="AG90" s="231">
        <f>DGbasevalo!D18</f>
        <v>2.2040323999999999E-7</v>
      </c>
      <c r="AH90" s="256" t="e">
        <f t="shared" si="46"/>
        <v>#N/A</v>
      </c>
      <c r="AI90" s="234">
        <f>DGcalcul!$K$25</f>
        <v>0</v>
      </c>
      <c r="AJ90" s="234">
        <f>DGcalcul!$K$24</f>
        <v>0</v>
      </c>
      <c r="AK90" s="235">
        <f>DGbaseF2V!Y20</f>
        <v>-5.4718007000000003E-9</v>
      </c>
      <c r="AL90" s="257">
        <f t="shared" si="40"/>
        <v>-5.4718007000000003E-9</v>
      </c>
    </row>
    <row r="91" spans="1:38" ht="18" collapsed="1" x14ac:dyDescent="0.35">
      <c r="A91" s="201" t="s">
        <v>303</v>
      </c>
      <c r="B91" s="202"/>
      <c r="C91" s="350"/>
      <c r="D91" s="203"/>
      <c r="E91" s="203"/>
      <c r="F91" s="204"/>
      <c r="G91" s="203"/>
      <c r="H91" s="205"/>
      <c r="I91" s="203"/>
      <c r="J91" s="203"/>
      <c r="K91" s="203"/>
      <c r="L91" s="203"/>
      <c r="M91" s="203"/>
      <c r="N91" s="203"/>
      <c r="O91" s="203"/>
      <c r="P91" s="205"/>
      <c r="Q91" s="205"/>
      <c r="R91" s="203"/>
      <c r="S91" s="206"/>
      <c r="T91" s="203"/>
      <c r="U91" s="203"/>
      <c r="V91" s="203"/>
      <c r="W91" s="203"/>
      <c r="X91" s="203"/>
      <c r="Y91" s="207"/>
      <c r="Z91" s="208"/>
      <c r="AA91" s="209"/>
      <c r="AB91" s="203"/>
      <c r="AC91" s="203"/>
      <c r="AD91" s="203"/>
      <c r="AE91" s="203"/>
      <c r="AF91" s="203"/>
      <c r="AG91" s="203"/>
      <c r="AH91" s="210"/>
      <c r="AI91" s="211"/>
      <c r="AJ91" s="212"/>
      <c r="AK91" s="213"/>
      <c r="AL91" s="214"/>
    </row>
    <row r="92" spans="1:38" x14ac:dyDescent="0.3">
      <c r="A92" s="216" t="s">
        <v>303</v>
      </c>
      <c r="B92" s="217" t="str">
        <f>DGcalcul!$E$19</f>
        <v>Mixed or Unknown collection</v>
      </c>
      <c r="C92" s="217" t="str">
        <f t="shared" si="47"/>
        <v>PHA Mixed or Unknown collection</v>
      </c>
      <c r="D92" s="218" t="s">
        <v>327</v>
      </c>
      <c r="E92" s="219" t="s">
        <v>336</v>
      </c>
      <c r="F92" s="220">
        <f>DGcalcul!$E$8</f>
        <v>0</v>
      </c>
      <c r="G92" s="218">
        <f>'DGbase données'!H2</f>
        <v>4.8367274</v>
      </c>
      <c r="H92" s="221">
        <f t="shared" ref="H92:H124" si="48">(1-F92)*G92</f>
        <v>4.8367274</v>
      </c>
      <c r="I92" s="220">
        <f>DGcalcul!$E$8</f>
        <v>0</v>
      </c>
      <c r="J92" s="222">
        <v>0.5</v>
      </c>
      <c r="K92" s="223">
        <f>DGbaseF2V!AE5</f>
        <v>0.42751919999999999</v>
      </c>
      <c r="L92" s="224">
        <f t="shared" ref="L92:L107" si="49">G92</f>
        <v>4.8367274</v>
      </c>
      <c r="M92" s="222">
        <v>0.9</v>
      </c>
      <c r="N92" s="222">
        <v>1</v>
      </c>
      <c r="O92" s="222">
        <f>M92/N92</f>
        <v>0.9</v>
      </c>
      <c r="P92" s="225">
        <f>I92*(J92*K92+(1-J92)*L92*O92)</f>
        <v>0</v>
      </c>
      <c r="Q92" s="258">
        <f>H92+P92</f>
        <v>4.8367274</v>
      </c>
      <c r="R92" s="227">
        <v>0.5</v>
      </c>
      <c r="S92" s="228" t="e">
        <f>IF(DGcalcul!$I$19="yes",VLOOKUP(DGcalcul!$G$3,DGliste!$F$13:$G$19,2,0),HLOOKUP($A$91,'DGbase données'!$B$78:$E$81,3,0))</f>
        <v>#N/A</v>
      </c>
      <c r="T92" s="223">
        <f>DGbaseF2V!AF5</f>
        <v>0.42751919999999999</v>
      </c>
      <c r="U92" s="224">
        <f t="shared" ref="U92:U107" si="50">L92</f>
        <v>4.8367274</v>
      </c>
      <c r="V92" s="222">
        <v>0.9</v>
      </c>
      <c r="W92" s="222">
        <v>1</v>
      </c>
      <c r="X92" s="222">
        <f>V92/W92</f>
        <v>0.9</v>
      </c>
      <c r="Y92" s="264" t="e">
        <f>(1-R92)*S92*(T92-U92*X92)</f>
        <v>#N/A</v>
      </c>
      <c r="Z92" s="230">
        <v>0</v>
      </c>
      <c r="AA92" s="228" t="e">
        <f>IF(DGcalcul!$I$19="yes",VLOOKUP(DGcalcul!$G$3,DGliste!$F$13:$G$19,2,0),HLOOKUP($A$91,'DGbase données'!$B$78:$E$81,2,0))</f>
        <v>#N/A</v>
      </c>
      <c r="AB92" s="223">
        <f>DGbaseF2V!AC5</f>
        <v>-4.9664001999999999E-2</v>
      </c>
      <c r="AC92" s="231">
        <f>HLOOKUP(C92,DGbasecoll!$B$3:$M$4,2,0)</f>
        <v>19.52</v>
      </c>
      <c r="AD92" s="228">
        <v>0.187</v>
      </c>
      <c r="AE92" s="232">
        <f>DGbasevalo!C3</f>
        <v>7.7330222000000004E-2</v>
      </c>
      <c r="AF92" s="228">
        <v>0.08</v>
      </c>
      <c r="AG92" s="231">
        <f>DGbasevalo!D3</f>
        <v>2.2289777E-2</v>
      </c>
      <c r="AH92" s="233" t="e">
        <f>(1-Z92)*AA92*(AB92-AC92*AD92*AE92-AC92*AF92*AG92)</f>
        <v>#N/A</v>
      </c>
      <c r="AI92" s="234">
        <f>DGcalcul!$K$25</f>
        <v>0</v>
      </c>
      <c r="AJ92" s="234">
        <f>DGcalcul!$K$24</f>
        <v>0</v>
      </c>
      <c r="AK92" s="269">
        <f>DGbaseF2V!AD5</f>
        <v>-0.56890596999999998</v>
      </c>
      <c r="AL92" s="236">
        <f t="shared" ref="AL92:AL107" si="51">(1-AI92-AJ92)*AK92</f>
        <v>-0.56890596999999998</v>
      </c>
    </row>
    <row r="93" spans="1:38" x14ac:dyDescent="0.3">
      <c r="A93" s="216" t="s">
        <v>303</v>
      </c>
      <c r="B93" s="217" t="str">
        <f>DGcalcul!$E$19</f>
        <v>Mixed or Unknown collection</v>
      </c>
      <c r="C93" s="217" t="str">
        <f t="shared" si="47"/>
        <v>PHA Mixed or Unknown collection</v>
      </c>
      <c r="D93" s="237" t="s">
        <v>416</v>
      </c>
      <c r="E93" s="238" t="s">
        <v>417</v>
      </c>
      <c r="F93" s="220">
        <f>DGcalcul!$E$8</f>
        <v>0</v>
      </c>
      <c r="G93" s="218">
        <f>'DGbase données'!H3</f>
        <v>4.0000000000000003E-5</v>
      </c>
      <c r="H93" s="239">
        <f t="shared" si="48"/>
        <v>4.0000000000000003E-5</v>
      </c>
      <c r="I93" s="220">
        <f>DGcalcul!$E$8</f>
        <v>0</v>
      </c>
      <c r="J93" s="240">
        <v>0.5</v>
      </c>
      <c r="K93" s="223">
        <f>DGbaseF2V!AE6</f>
        <v>1.3179058E-8</v>
      </c>
      <c r="L93" s="241">
        <f t="shared" si="49"/>
        <v>4.0000000000000003E-5</v>
      </c>
      <c r="M93" s="240">
        <v>0.9</v>
      </c>
      <c r="N93" s="240">
        <v>1</v>
      </c>
      <c r="O93" s="240">
        <f t="shared" ref="O93:O107" si="52">M93/N93</f>
        <v>0.9</v>
      </c>
      <c r="P93" s="225">
        <f t="shared" ref="P93:P107" si="53">I93*(J93*K93+(1-J93)*L93*O93)</f>
        <v>0</v>
      </c>
      <c r="Q93" s="260">
        <f>H93+P93</f>
        <v>4.0000000000000003E-5</v>
      </c>
      <c r="R93" s="242">
        <v>0.5</v>
      </c>
      <c r="S93" s="228" t="e">
        <f>IF(DGcalcul!$I$19="yes",VLOOKUP(DGcalcul!$G$3,DGliste!$F$13:$G$19,2,0),HLOOKUP($A$91,'DGbase données'!$B$78:$E$81,3,0))</f>
        <v>#N/A</v>
      </c>
      <c r="T93" s="223">
        <f>DGbaseF2V!AF6</f>
        <v>1.3179058E-8</v>
      </c>
      <c r="U93" s="241">
        <f t="shared" si="50"/>
        <v>4.0000000000000003E-5</v>
      </c>
      <c r="V93" s="240">
        <v>0.9</v>
      </c>
      <c r="W93" s="240">
        <v>1</v>
      </c>
      <c r="X93" s="240">
        <f t="shared" ref="X93:X107" si="54">V93/W93</f>
        <v>0.9</v>
      </c>
      <c r="Y93" s="243" t="e">
        <f t="shared" ref="Y93:Y107" si="55">(1-R93)*S93*(T93-U93*X93)</f>
        <v>#N/A</v>
      </c>
      <c r="Z93" s="244">
        <v>0</v>
      </c>
      <c r="AA93" s="228" t="e">
        <f>IF(DGcalcul!$I$19="yes",VLOOKUP(DGcalcul!$G$3,DGliste!$F$13:$G$19,2,0),HLOOKUP($A$91,'DGbase données'!$B$78:$E$81,2,0))</f>
        <v>#N/A</v>
      </c>
      <c r="AB93" s="223">
        <f>DGbaseF2V!AC6</f>
        <v>-2.4853548999999998E-9</v>
      </c>
      <c r="AC93" s="231">
        <f>HLOOKUP(C93,DGbasecoll!$B$3:$M$4,2,0)</f>
        <v>19.52</v>
      </c>
      <c r="AD93" s="245">
        <v>0.187</v>
      </c>
      <c r="AE93" s="232">
        <f>DGbasevalo!C4</f>
        <v>8.0992136000000005E-9</v>
      </c>
      <c r="AF93" s="245">
        <v>0.08</v>
      </c>
      <c r="AG93" s="231">
        <f>DGbasevalo!D4</f>
        <v>2.3413113000000001E-9</v>
      </c>
      <c r="AH93" s="246" t="e">
        <f>(1-Z93)*AA93*(AB93-AC93*AD93*AE93-AC93*AF93*AG93)</f>
        <v>#N/A</v>
      </c>
      <c r="AI93" s="234">
        <f>DGcalcul!$K$25</f>
        <v>0</v>
      </c>
      <c r="AJ93" s="234">
        <f>DGcalcul!$K$24</f>
        <v>0</v>
      </c>
      <c r="AK93" s="269">
        <f>DGbaseF2V!AD6</f>
        <v>-2.2703701999999999E-9</v>
      </c>
      <c r="AL93" s="247">
        <f t="shared" si="51"/>
        <v>-2.2703701999999999E-9</v>
      </c>
    </row>
    <row r="94" spans="1:38" x14ac:dyDescent="0.3">
      <c r="A94" s="216" t="s">
        <v>303</v>
      </c>
      <c r="B94" s="217" t="str">
        <f>DGcalcul!$E$19</f>
        <v>Mixed or Unknown collection</v>
      </c>
      <c r="C94" s="217" t="str">
        <f t="shared" si="47"/>
        <v>PHA Mixed or Unknown collection</v>
      </c>
      <c r="D94" s="237" t="s">
        <v>418</v>
      </c>
      <c r="E94" s="238" t="s">
        <v>419</v>
      </c>
      <c r="F94" s="220">
        <f>DGcalcul!$E$8</f>
        <v>0</v>
      </c>
      <c r="G94" s="218">
        <f>'DGbase données'!H4</f>
        <v>5.7999999999999996E-3</v>
      </c>
      <c r="H94" s="239">
        <f t="shared" si="48"/>
        <v>5.7999999999999996E-3</v>
      </c>
      <c r="I94" s="220">
        <f>DGcalcul!$E$8</f>
        <v>0</v>
      </c>
      <c r="J94" s="240">
        <v>0.5</v>
      </c>
      <c r="K94" s="223">
        <f>DGbaseF2V!AE7</f>
        <v>0.15054982</v>
      </c>
      <c r="L94" s="241">
        <f t="shared" si="49"/>
        <v>5.7999999999999996E-3</v>
      </c>
      <c r="M94" s="240">
        <v>0.9</v>
      </c>
      <c r="N94" s="240">
        <v>1</v>
      </c>
      <c r="O94" s="240">
        <f t="shared" si="52"/>
        <v>0.9</v>
      </c>
      <c r="P94" s="225">
        <f t="shared" si="53"/>
        <v>0</v>
      </c>
      <c r="Q94" s="260">
        <f t="shared" ref="Q94:Q107" si="56">H94+P94</f>
        <v>5.7999999999999996E-3</v>
      </c>
      <c r="R94" s="242">
        <v>0.5</v>
      </c>
      <c r="S94" s="228" t="e">
        <f>IF(DGcalcul!$I$19="yes",VLOOKUP(DGcalcul!$G$3,DGliste!$F$13:$G$19,2,0),HLOOKUP($A$91,'DGbase données'!$B$78:$E$81,3,0))</f>
        <v>#N/A</v>
      </c>
      <c r="T94" s="223">
        <f>DGbaseF2V!AF7</f>
        <v>0.15054982</v>
      </c>
      <c r="U94" s="241">
        <f t="shared" si="50"/>
        <v>5.7999999999999996E-3</v>
      </c>
      <c r="V94" s="240">
        <v>0.9</v>
      </c>
      <c r="W94" s="240">
        <v>1</v>
      </c>
      <c r="X94" s="240">
        <f t="shared" si="54"/>
        <v>0.9</v>
      </c>
      <c r="Y94" s="243" t="e">
        <f t="shared" si="55"/>
        <v>#N/A</v>
      </c>
      <c r="Z94" s="244">
        <v>0</v>
      </c>
      <c r="AA94" s="228" t="e">
        <f>IF(DGcalcul!$I$19="yes",VLOOKUP(DGcalcul!$G$3,DGliste!$F$13:$G$19,2,0),HLOOKUP($A$91,'DGbase données'!$B$78:$E$81,2,0))</f>
        <v>#N/A</v>
      </c>
      <c r="AB94" s="223">
        <f>DGbaseF2V!AC7</f>
        <v>-3.7675345000000001E-3</v>
      </c>
      <c r="AC94" s="231">
        <f>HLOOKUP(C94,DGbasecoll!$B$3:$M$4,2,0)</f>
        <v>19.52</v>
      </c>
      <c r="AD94" s="245">
        <v>0.187</v>
      </c>
      <c r="AE94" s="232">
        <f>DGbasevalo!C5</f>
        <v>1.1716807000000001E-3</v>
      </c>
      <c r="AF94" s="245">
        <v>0.08</v>
      </c>
      <c r="AG94" s="231">
        <f>DGbasevalo!D5</f>
        <v>0.14722304</v>
      </c>
      <c r="AH94" s="246" t="e">
        <f t="shared" ref="AH94:AH107" si="57">(1-Z94)*AA94*(AB94-AC94*AD94*AE94-AC94*AF94*AG94)</f>
        <v>#N/A</v>
      </c>
      <c r="AI94" s="234">
        <f>DGcalcul!$K$25</f>
        <v>0</v>
      </c>
      <c r="AJ94" s="234">
        <f>DGcalcul!$K$24</f>
        <v>0</v>
      </c>
      <c r="AK94" s="269">
        <f>DGbaseF2V!AD7</f>
        <v>-3.5874167999999998E-3</v>
      </c>
      <c r="AL94" s="247">
        <f t="shared" si="51"/>
        <v>-3.5874167999999998E-3</v>
      </c>
    </row>
    <row r="95" spans="1:38" x14ac:dyDescent="0.3">
      <c r="A95" s="216" t="s">
        <v>303</v>
      </c>
      <c r="B95" s="217" t="str">
        <f>DGcalcul!$E$19</f>
        <v>Mixed or Unknown collection</v>
      </c>
      <c r="C95" s="217" t="str">
        <f t="shared" si="47"/>
        <v>PHA Mixed or Unknown collection</v>
      </c>
      <c r="D95" s="237" t="s">
        <v>328</v>
      </c>
      <c r="E95" s="238" t="s">
        <v>342</v>
      </c>
      <c r="F95" s="220">
        <f>DGcalcul!$E$8</f>
        <v>0</v>
      </c>
      <c r="G95" s="218">
        <f>'DGbase données'!H5</f>
        <v>1.1876707E-2</v>
      </c>
      <c r="H95" s="239">
        <f t="shared" si="48"/>
        <v>1.1876707E-2</v>
      </c>
      <c r="I95" s="220">
        <f>DGcalcul!$E$8</f>
        <v>0</v>
      </c>
      <c r="J95" s="240">
        <v>0.5</v>
      </c>
      <c r="K95" s="223">
        <f>DGbaseF2V!AE8</f>
        <v>1.0398085000000001E-3</v>
      </c>
      <c r="L95" s="241">
        <f t="shared" si="49"/>
        <v>1.1876707E-2</v>
      </c>
      <c r="M95" s="240">
        <v>0.9</v>
      </c>
      <c r="N95" s="240">
        <v>1</v>
      </c>
      <c r="O95" s="240">
        <f t="shared" si="52"/>
        <v>0.9</v>
      </c>
      <c r="P95" s="225">
        <f t="shared" si="53"/>
        <v>0</v>
      </c>
      <c r="Q95" s="260">
        <f t="shared" si="56"/>
        <v>1.1876707E-2</v>
      </c>
      <c r="R95" s="242">
        <v>0.5</v>
      </c>
      <c r="S95" s="228" t="e">
        <f>IF(DGcalcul!$I$19="yes",VLOOKUP(DGcalcul!$G$3,DGliste!$F$13:$G$19,2,0),HLOOKUP($A$91,'DGbase données'!$B$78:$E$81,3,0))</f>
        <v>#N/A</v>
      </c>
      <c r="T95" s="223">
        <f>DGbaseF2V!AF8</f>
        <v>1.0398085000000001E-3</v>
      </c>
      <c r="U95" s="241">
        <f t="shared" si="50"/>
        <v>1.1876707E-2</v>
      </c>
      <c r="V95" s="240">
        <v>0.9</v>
      </c>
      <c r="W95" s="240">
        <v>1</v>
      </c>
      <c r="X95" s="240">
        <f t="shared" si="54"/>
        <v>0.9</v>
      </c>
      <c r="Y95" s="243" t="e">
        <f t="shared" si="55"/>
        <v>#N/A</v>
      </c>
      <c r="Z95" s="244">
        <v>0</v>
      </c>
      <c r="AA95" s="228" t="e">
        <f>IF(DGcalcul!$I$19="yes",VLOOKUP(DGcalcul!$G$3,DGliste!$F$13:$G$19,2,0),HLOOKUP($A$91,'DGbase données'!$B$78:$E$81,2,0))</f>
        <v>#N/A</v>
      </c>
      <c r="AB95" s="223">
        <f>DGbaseF2V!AC8</f>
        <v>-6.4638414000000005E-4</v>
      </c>
      <c r="AC95" s="231">
        <f>HLOOKUP(C95,DGbasecoll!$B$3:$M$4,2,0)</f>
        <v>19.52</v>
      </c>
      <c r="AD95" s="245">
        <v>0.187</v>
      </c>
      <c r="AE95" s="232">
        <f>DGbasevalo!C6</f>
        <v>7.9413265000000005E-5</v>
      </c>
      <c r="AF95" s="245">
        <v>0.08</v>
      </c>
      <c r="AG95" s="231">
        <f>DGbasevalo!D6</f>
        <v>5.8075829000000003E-5</v>
      </c>
      <c r="AH95" s="246" t="e">
        <f t="shared" si="57"/>
        <v>#N/A</v>
      </c>
      <c r="AI95" s="234">
        <f>DGcalcul!$K$25</f>
        <v>0</v>
      </c>
      <c r="AJ95" s="234">
        <f>DGcalcul!$K$24</f>
        <v>0</v>
      </c>
      <c r="AK95" s="269">
        <f>DGbaseF2V!AD8</f>
        <v>-4.6474944000000001E-4</v>
      </c>
      <c r="AL95" s="247">
        <f t="shared" si="51"/>
        <v>-4.6474944000000001E-4</v>
      </c>
    </row>
    <row r="96" spans="1:38" x14ac:dyDescent="0.3">
      <c r="A96" s="216" t="s">
        <v>303</v>
      </c>
      <c r="B96" s="217" t="str">
        <f>DGcalcul!$E$19</f>
        <v>Mixed or Unknown collection</v>
      </c>
      <c r="C96" s="217" t="str">
        <f t="shared" si="47"/>
        <v>PHA Mixed or Unknown collection</v>
      </c>
      <c r="D96" s="237" t="s">
        <v>329</v>
      </c>
      <c r="E96" s="238" t="s">
        <v>343</v>
      </c>
      <c r="F96" s="220">
        <f>DGcalcul!$E$8</f>
        <v>0</v>
      </c>
      <c r="G96" s="218">
        <f>'DGbase données'!H6</f>
        <v>1.7958559E-7</v>
      </c>
      <c r="H96" s="239">
        <f t="shared" si="48"/>
        <v>1.7958559E-7</v>
      </c>
      <c r="I96" s="220">
        <f>DGcalcul!$E$8</f>
        <v>0</v>
      </c>
      <c r="J96" s="240">
        <v>0.5</v>
      </c>
      <c r="K96" s="223">
        <f>DGbaseF2V!AE9</f>
        <v>8.0780695000000003E-9</v>
      </c>
      <c r="L96" s="241">
        <f t="shared" si="49"/>
        <v>1.7958559E-7</v>
      </c>
      <c r="M96" s="240">
        <v>0.9</v>
      </c>
      <c r="N96" s="240">
        <v>1</v>
      </c>
      <c r="O96" s="240">
        <f t="shared" si="52"/>
        <v>0.9</v>
      </c>
      <c r="P96" s="225">
        <f t="shared" si="53"/>
        <v>0</v>
      </c>
      <c r="Q96" s="260">
        <f t="shared" si="56"/>
        <v>1.7958559E-7</v>
      </c>
      <c r="R96" s="242">
        <v>0.5</v>
      </c>
      <c r="S96" s="228" t="e">
        <f>IF(DGcalcul!$I$19="yes",VLOOKUP(DGcalcul!$G$3,DGliste!$F$13:$G$19,2,0),HLOOKUP($A$91,'DGbase données'!$B$78:$E$81,3,0))</f>
        <v>#N/A</v>
      </c>
      <c r="T96" s="223">
        <f>DGbaseF2V!AF9</f>
        <v>8.0780695000000003E-9</v>
      </c>
      <c r="U96" s="241">
        <f t="shared" si="50"/>
        <v>1.7958559E-7</v>
      </c>
      <c r="V96" s="240">
        <v>0.9</v>
      </c>
      <c r="W96" s="240">
        <v>1</v>
      </c>
      <c r="X96" s="240">
        <f t="shared" si="54"/>
        <v>0.9</v>
      </c>
      <c r="Y96" s="243" t="e">
        <f t="shared" si="55"/>
        <v>#N/A</v>
      </c>
      <c r="Z96" s="244">
        <v>0</v>
      </c>
      <c r="AA96" s="228" t="e">
        <f>IF(DGcalcul!$I$19="yes",VLOOKUP(DGcalcul!$G$3,DGliste!$F$13:$G$19,2,0),HLOOKUP($A$91,'DGbase données'!$B$78:$E$81,2,0))</f>
        <v>#N/A</v>
      </c>
      <c r="AB96" s="223">
        <f>DGbaseF2V!AC9</f>
        <v>-2.6076798000000002E-9</v>
      </c>
      <c r="AC96" s="231">
        <f>HLOOKUP(C96,DGbasecoll!$B$3:$M$4,2,0)</f>
        <v>19.52</v>
      </c>
      <c r="AD96" s="245">
        <v>0.187</v>
      </c>
      <c r="AE96" s="232">
        <f>DGbasevalo!C7</f>
        <v>3.815356E-10</v>
      </c>
      <c r="AF96" s="245">
        <v>0.08</v>
      </c>
      <c r="AG96" s="231">
        <f>DGbasevalo!D7</f>
        <v>1.2179878E-9</v>
      </c>
      <c r="AH96" s="246" t="e">
        <f t="shared" si="57"/>
        <v>#N/A</v>
      </c>
      <c r="AI96" s="234">
        <f>DGcalcul!$K$25</f>
        <v>0</v>
      </c>
      <c r="AJ96" s="234">
        <f>DGcalcul!$K$24</f>
        <v>0</v>
      </c>
      <c r="AK96" s="269">
        <f>DGbaseF2V!AD9</f>
        <v>-2.2663102999999999E-8</v>
      </c>
      <c r="AL96" s="247">
        <f t="shared" si="51"/>
        <v>-2.2663102999999999E-8</v>
      </c>
    </row>
    <row r="97" spans="1:38" x14ac:dyDescent="0.3">
      <c r="A97" s="216" t="s">
        <v>303</v>
      </c>
      <c r="B97" s="217" t="str">
        <f>DGcalcul!$E$19</f>
        <v>Mixed or Unknown collection</v>
      </c>
      <c r="C97" s="217" t="str">
        <f t="shared" si="47"/>
        <v>PHA Mixed or Unknown collection</v>
      </c>
      <c r="D97" s="237" t="s">
        <v>420</v>
      </c>
      <c r="E97" s="238" t="s">
        <v>421</v>
      </c>
      <c r="F97" s="220">
        <f>DGcalcul!$E$8</f>
        <v>0</v>
      </c>
      <c r="G97" s="218">
        <f>'DGbase données'!H7</f>
        <v>5.0859263999999997E-7</v>
      </c>
      <c r="H97" s="239">
        <f t="shared" si="48"/>
        <v>5.0859263999999997E-7</v>
      </c>
      <c r="I97" s="220">
        <f>DGcalcul!$E$8</f>
        <v>0</v>
      </c>
      <c r="J97" s="240">
        <v>0.5</v>
      </c>
      <c r="K97" s="223">
        <f>DGbaseF2V!AE10</f>
        <v>2.2478817E-9</v>
      </c>
      <c r="L97" s="241">
        <f t="shared" si="49"/>
        <v>5.0859263999999997E-7</v>
      </c>
      <c r="M97" s="240">
        <v>0.9</v>
      </c>
      <c r="N97" s="240">
        <v>1</v>
      </c>
      <c r="O97" s="240">
        <f t="shared" si="52"/>
        <v>0.9</v>
      </c>
      <c r="P97" s="225">
        <f t="shared" si="53"/>
        <v>0</v>
      </c>
      <c r="Q97" s="260">
        <f t="shared" si="56"/>
        <v>5.0859263999999997E-7</v>
      </c>
      <c r="R97" s="242">
        <v>0.5</v>
      </c>
      <c r="S97" s="228" t="e">
        <f>IF(DGcalcul!$I$19="yes",VLOOKUP(DGcalcul!$G$3,DGliste!$F$13:$G$19,2,0),HLOOKUP($A$91,'DGbase données'!$B$78:$E$81,3,0))</f>
        <v>#N/A</v>
      </c>
      <c r="T97" s="223">
        <f>DGbaseF2V!AF10</f>
        <v>2.2478817E-9</v>
      </c>
      <c r="U97" s="241">
        <f t="shared" si="50"/>
        <v>5.0859263999999997E-7</v>
      </c>
      <c r="V97" s="240">
        <v>0.9</v>
      </c>
      <c r="W97" s="240">
        <v>1</v>
      </c>
      <c r="X97" s="240">
        <f t="shared" si="54"/>
        <v>0.9</v>
      </c>
      <c r="Y97" s="243" t="e">
        <f t="shared" si="55"/>
        <v>#N/A</v>
      </c>
      <c r="Z97" s="244">
        <v>0</v>
      </c>
      <c r="AA97" s="228" t="e">
        <f>IF(DGcalcul!$I$19="yes",VLOOKUP(DGcalcul!$G$3,DGliste!$F$13:$G$19,2,0),HLOOKUP($A$91,'DGbase données'!$B$78:$E$81,2,0))</f>
        <v>#N/A</v>
      </c>
      <c r="AB97" s="223">
        <f>DGbaseF2V!AC10</f>
        <v>-3.2734236999999999E-10</v>
      </c>
      <c r="AC97" s="231">
        <f>HLOOKUP(C97,DGbasecoll!$B$3:$M$4,2,0)</f>
        <v>19.52</v>
      </c>
      <c r="AD97" s="245">
        <v>0.187</v>
      </c>
      <c r="AE97" s="232">
        <f>DGbasevalo!C8</f>
        <v>1.9881795000000001E-10</v>
      </c>
      <c r="AF97" s="245">
        <v>0.08</v>
      </c>
      <c r="AG97" s="231">
        <f>DGbasevalo!D8</f>
        <v>2.6225022999999999E-10</v>
      </c>
      <c r="AH97" s="246" t="e">
        <f t="shared" si="57"/>
        <v>#N/A</v>
      </c>
      <c r="AI97" s="234">
        <f>DGcalcul!$K$25</f>
        <v>0</v>
      </c>
      <c r="AJ97" s="234">
        <f>DGcalcul!$K$24</f>
        <v>0</v>
      </c>
      <c r="AK97" s="269">
        <f>DGbaseF2V!AD10</f>
        <v>-6.9221840000000002E-10</v>
      </c>
      <c r="AL97" s="247">
        <f t="shared" si="51"/>
        <v>-6.9221840000000002E-10</v>
      </c>
    </row>
    <row r="98" spans="1:38" x14ac:dyDescent="0.3">
      <c r="A98" s="216" t="s">
        <v>303</v>
      </c>
      <c r="B98" s="217" t="str">
        <f>DGcalcul!$E$19</f>
        <v>Mixed or Unknown collection</v>
      </c>
      <c r="C98" s="217" t="str">
        <f t="shared" si="47"/>
        <v>PHA Mixed or Unknown collection</v>
      </c>
      <c r="D98" s="237" t="s">
        <v>422</v>
      </c>
      <c r="E98" s="238" t="s">
        <v>421</v>
      </c>
      <c r="F98" s="220">
        <f>DGcalcul!$E$8</f>
        <v>0</v>
      </c>
      <c r="G98" s="218">
        <f>'DGbase données'!H8</f>
        <v>1.1011013000000001E-9</v>
      </c>
      <c r="H98" s="239">
        <f t="shared" si="48"/>
        <v>1.1011013000000001E-9</v>
      </c>
      <c r="I98" s="220">
        <f>DGcalcul!$E$8</f>
        <v>0</v>
      </c>
      <c r="J98" s="240">
        <v>0.5</v>
      </c>
      <c r="K98" s="223">
        <f>DGbaseF2V!AE11</f>
        <v>9.9302582000000002E-10</v>
      </c>
      <c r="L98" s="241">
        <f t="shared" si="49"/>
        <v>1.1011013000000001E-9</v>
      </c>
      <c r="M98" s="240">
        <v>0.9</v>
      </c>
      <c r="N98" s="240">
        <v>1</v>
      </c>
      <c r="O98" s="240">
        <f t="shared" si="52"/>
        <v>0.9</v>
      </c>
      <c r="P98" s="225">
        <f t="shared" si="53"/>
        <v>0</v>
      </c>
      <c r="Q98" s="260">
        <f t="shared" si="56"/>
        <v>1.1011013000000001E-9</v>
      </c>
      <c r="R98" s="242">
        <v>0.5</v>
      </c>
      <c r="S98" s="228" t="e">
        <f>IF(DGcalcul!$I$19="yes",VLOOKUP(DGcalcul!$G$3,DGliste!$F$13:$G$19,2,0),HLOOKUP($A$91,'DGbase données'!$B$78:$E$81,3,0))</f>
        <v>#N/A</v>
      </c>
      <c r="T98" s="223">
        <f>DGbaseF2V!AF11</f>
        <v>9.9302582000000002E-10</v>
      </c>
      <c r="U98" s="241">
        <f t="shared" si="50"/>
        <v>1.1011013000000001E-9</v>
      </c>
      <c r="V98" s="240">
        <v>0.9</v>
      </c>
      <c r="W98" s="240">
        <v>1</v>
      </c>
      <c r="X98" s="240">
        <f t="shared" si="54"/>
        <v>0.9</v>
      </c>
      <c r="Y98" s="243" t="e">
        <f t="shared" si="55"/>
        <v>#N/A</v>
      </c>
      <c r="Z98" s="244">
        <v>0</v>
      </c>
      <c r="AA98" s="228" t="e">
        <f>IF(DGcalcul!$I$19="yes",VLOOKUP(DGcalcul!$G$3,DGliste!$F$13:$G$19,2,0),HLOOKUP($A$91,'DGbase données'!$B$78:$E$81,2,0))</f>
        <v>#N/A</v>
      </c>
      <c r="AB98" s="223">
        <f>DGbaseF2V!AC11</f>
        <v>-7.6701737999999996E-12</v>
      </c>
      <c r="AC98" s="231">
        <f>HLOOKUP(C98,DGbasecoll!$B$3:$M$4,2,0)</f>
        <v>19.52</v>
      </c>
      <c r="AD98" s="245">
        <v>0.187</v>
      </c>
      <c r="AE98" s="232">
        <f>DGbasevalo!C9</f>
        <v>1.5634214999999999E-11</v>
      </c>
      <c r="AF98" s="245">
        <v>0.08</v>
      </c>
      <c r="AG98" s="231">
        <f>DGbasevalo!D9</f>
        <v>1.3494008E-11</v>
      </c>
      <c r="AH98" s="246" t="e">
        <f t="shared" si="57"/>
        <v>#N/A</v>
      </c>
      <c r="AI98" s="234">
        <f>DGcalcul!$K$25</f>
        <v>0</v>
      </c>
      <c r="AJ98" s="234">
        <f>DGcalcul!$K$24</f>
        <v>0</v>
      </c>
      <c r="AK98" s="269">
        <f>DGbaseF2V!AD11</f>
        <v>-8.0999601999999995E-12</v>
      </c>
      <c r="AL98" s="247">
        <f t="shared" si="51"/>
        <v>-8.0999601999999995E-12</v>
      </c>
    </row>
    <row r="99" spans="1:38" x14ac:dyDescent="0.3">
      <c r="A99" s="216" t="s">
        <v>303</v>
      </c>
      <c r="B99" s="217" t="str">
        <f>DGcalcul!$E$19</f>
        <v>Mixed or Unknown collection</v>
      </c>
      <c r="C99" s="217" t="str">
        <f t="shared" si="47"/>
        <v>PHA Mixed or Unknown collection</v>
      </c>
      <c r="D99" s="237" t="s">
        <v>330</v>
      </c>
      <c r="E99" s="238" t="s">
        <v>344</v>
      </c>
      <c r="F99" s="220">
        <f>DGcalcul!$E$8</f>
        <v>0</v>
      </c>
      <c r="G99" s="218">
        <f>'DGbase données'!H9</f>
        <v>2.0972953999999999E-2</v>
      </c>
      <c r="H99" s="239">
        <f t="shared" si="48"/>
        <v>2.0972953999999999E-2</v>
      </c>
      <c r="I99" s="220">
        <f>DGcalcul!$E$8</f>
        <v>0</v>
      </c>
      <c r="J99" s="240">
        <v>0.5</v>
      </c>
      <c r="K99" s="223">
        <f>DGbaseF2V!AE12</f>
        <v>1.4264174000000001E-3</v>
      </c>
      <c r="L99" s="241">
        <f t="shared" si="49"/>
        <v>2.0972953999999999E-2</v>
      </c>
      <c r="M99" s="240">
        <v>0.9</v>
      </c>
      <c r="N99" s="240">
        <v>1</v>
      </c>
      <c r="O99" s="240">
        <f t="shared" si="52"/>
        <v>0.9</v>
      </c>
      <c r="P99" s="225">
        <f t="shared" si="53"/>
        <v>0</v>
      </c>
      <c r="Q99" s="260">
        <f t="shared" si="56"/>
        <v>2.0972953999999999E-2</v>
      </c>
      <c r="R99" s="242">
        <v>0.5</v>
      </c>
      <c r="S99" s="228" t="e">
        <f>IF(DGcalcul!$I$19="yes",VLOOKUP(DGcalcul!$G$3,DGliste!$F$13:$G$19,2,0),HLOOKUP($A$91,'DGbase données'!$B$78:$E$81,3,0))</f>
        <v>#N/A</v>
      </c>
      <c r="T99" s="223">
        <f>DGbaseF2V!AF12</f>
        <v>1.4264174000000001E-3</v>
      </c>
      <c r="U99" s="241">
        <f t="shared" si="50"/>
        <v>2.0972953999999999E-2</v>
      </c>
      <c r="V99" s="240">
        <v>0.9</v>
      </c>
      <c r="W99" s="240">
        <v>1</v>
      </c>
      <c r="X99" s="240">
        <f t="shared" si="54"/>
        <v>0.9</v>
      </c>
      <c r="Y99" s="243" t="e">
        <f t="shared" si="55"/>
        <v>#N/A</v>
      </c>
      <c r="Z99" s="244">
        <v>0</v>
      </c>
      <c r="AA99" s="228" t="e">
        <f>IF(DGcalcul!$I$19="yes",VLOOKUP(DGcalcul!$G$3,DGliste!$F$13:$G$19,2,0),HLOOKUP($A$91,'DGbase données'!$B$78:$E$81,2,0))</f>
        <v>#N/A</v>
      </c>
      <c r="AB99" s="223">
        <f>DGbaseF2V!AC12</f>
        <v>-6.2007458000000004E-4</v>
      </c>
      <c r="AC99" s="231">
        <f>HLOOKUP(C99,DGbasecoll!$B$3:$M$4,2,0)</f>
        <v>19.52</v>
      </c>
      <c r="AD99" s="245">
        <v>0.187</v>
      </c>
      <c r="AE99" s="232">
        <f>DGbasevalo!C10</f>
        <v>8.942492E-5</v>
      </c>
      <c r="AF99" s="245">
        <v>0.08</v>
      </c>
      <c r="AG99" s="231">
        <f>DGbasevalo!D10</f>
        <v>1.0822637E-4</v>
      </c>
      <c r="AH99" s="246" t="e">
        <f t="shared" si="57"/>
        <v>#N/A</v>
      </c>
      <c r="AI99" s="234">
        <f>DGcalcul!$K$25</f>
        <v>0</v>
      </c>
      <c r="AJ99" s="234">
        <f>DGcalcul!$K$24</f>
        <v>0</v>
      </c>
      <c r="AK99" s="269">
        <f>DGbaseF2V!AD12</f>
        <v>-4.0820693000000001E-4</v>
      </c>
      <c r="AL99" s="247">
        <f t="shared" si="51"/>
        <v>-4.0820693000000001E-4</v>
      </c>
    </row>
    <row r="100" spans="1:38" x14ac:dyDescent="0.3">
      <c r="A100" s="216" t="s">
        <v>303</v>
      </c>
      <c r="B100" s="217" t="str">
        <f>DGcalcul!$E$19</f>
        <v>Mixed or Unknown collection</v>
      </c>
      <c r="C100" s="217" t="str">
        <f t="shared" si="47"/>
        <v>PHA Mixed or Unknown collection</v>
      </c>
      <c r="D100" s="237" t="s">
        <v>331</v>
      </c>
      <c r="E100" s="238" t="s">
        <v>345</v>
      </c>
      <c r="F100" s="220">
        <f>DGcalcul!$E$8</f>
        <v>0</v>
      </c>
      <c r="G100" s="218">
        <f>'DGbase données'!H10</f>
        <v>1.7999999999999999E-6</v>
      </c>
      <c r="H100" s="239">
        <f t="shared" si="48"/>
        <v>1.7999999999999999E-6</v>
      </c>
      <c r="I100" s="220">
        <f>DGcalcul!$E$8</f>
        <v>0</v>
      </c>
      <c r="J100" s="240">
        <v>0.5</v>
      </c>
      <c r="K100" s="223">
        <f>DGbaseF2V!AE13</f>
        <v>2.0966746999999999E-4</v>
      </c>
      <c r="L100" s="241">
        <f t="shared" si="49"/>
        <v>1.7999999999999999E-6</v>
      </c>
      <c r="M100" s="240">
        <v>0.9</v>
      </c>
      <c r="N100" s="240">
        <v>1</v>
      </c>
      <c r="O100" s="240">
        <f t="shared" si="52"/>
        <v>0.9</v>
      </c>
      <c r="P100" s="225">
        <f t="shared" si="53"/>
        <v>0</v>
      </c>
      <c r="Q100" s="260">
        <f t="shared" si="56"/>
        <v>1.7999999999999999E-6</v>
      </c>
      <c r="R100" s="242">
        <v>0.5</v>
      </c>
      <c r="S100" s="228" t="e">
        <f>IF(DGcalcul!$I$19="yes",VLOOKUP(DGcalcul!$G$3,DGliste!$F$13:$G$19,2,0),HLOOKUP($A$91,'DGbase données'!$B$78:$E$81,3,0))</f>
        <v>#N/A</v>
      </c>
      <c r="T100" s="223">
        <f>DGbaseF2V!AF13</f>
        <v>2.0966746999999999E-4</v>
      </c>
      <c r="U100" s="241">
        <f t="shared" si="50"/>
        <v>1.7999999999999999E-6</v>
      </c>
      <c r="V100" s="240">
        <v>0.9</v>
      </c>
      <c r="W100" s="240">
        <v>1</v>
      </c>
      <c r="X100" s="240">
        <f t="shared" si="54"/>
        <v>0.9</v>
      </c>
      <c r="Y100" s="243" t="e">
        <f t="shared" si="55"/>
        <v>#N/A</v>
      </c>
      <c r="Z100" s="244">
        <v>0</v>
      </c>
      <c r="AA100" s="228" t="e">
        <f>IF(DGcalcul!$I$19="yes",VLOOKUP(DGcalcul!$G$3,DGliste!$F$13:$G$19,2,0),HLOOKUP($A$91,'DGbase données'!$B$78:$E$81,2,0))</f>
        <v>#N/A</v>
      </c>
      <c r="AB100" s="223">
        <f>DGbaseF2V!AC13</f>
        <v>-1.4948787999999999E-8</v>
      </c>
      <c r="AC100" s="231">
        <f>HLOOKUP(C100,DGbasecoll!$B$3:$M$4,2,0)</f>
        <v>19.52</v>
      </c>
      <c r="AD100" s="245">
        <v>0.187</v>
      </c>
      <c r="AE100" s="232">
        <f>DGbasevalo!C11</f>
        <v>2.5191956000000001E-6</v>
      </c>
      <c r="AF100" s="245">
        <v>0.08</v>
      </c>
      <c r="AG100" s="231">
        <f>DGbasevalo!D11</f>
        <v>5.4348756999999998E-6</v>
      </c>
      <c r="AH100" s="246" t="e">
        <f t="shared" si="57"/>
        <v>#N/A</v>
      </c>
      <c r="AI100" s="234">
        <f>DGcalcul!$K$25</f>
        <v>0</v>
      </c>
      <c r="AJ100" s="234">
        <f>DGcalcul!$K$24</f>
        <v>0</v>
      </c>
      <c r="AK100" s="269">
        <f>DGbaseF2V!AD13</f>
        <v>-1.0591003E-4</v>
      </c>
      <c r="AL100" s="247">
        <f t="shared" si="51"/>
        <v>-1.0591003E-4</v>
      </c>
    </row>
    <row r="101" spans="1:38" x14ac:dyDescent="0.3">
      <c r="A101" s="216" t="s">
        <v>303</v>
      </c>
      <c r="B101" s="217" t="str">
        <f>DGcalcul!$E$19</f>
        <v>Mixed or Unknown collection</v>
      </c>
      <c r="C101" s="217" t="str">
        <f t="shared" si="47"/>
        <v>PHA Mixed or Unknown collection</v>
      </c>
      <c r="D101" s="237" t="s">
        <v>423</v>
      </c>
      <c r="E101" s="238" t="s">
        <v>424</v>
      </c>
      <c r="F101" s="220">
        <f>DGcalcul!$E$8</f>
        <v>0</v>
      </c>
      <c r="G101" s="218">
        <f>'DGbase données'!H11</f>
        <v>3.0999999999999999E-3</v>
      </c>
      <c r="H101" s="239">
        <f t="shared" si="48"/>
        <v>3.0999999999999999E-3</v>
      </c>
      <c r="I101" s="220">
        <f>DGcalcul!$E$8</f>
        <v>0</v>
      </c>
      <c r="J101" s="240">
        <v>0.5</v>
      </c>
      <c r="K101" s="223">
        <f>DGbaseF2V!AE14</f>
        <v>2.7980700999999999E-4</v>
      </c>
      <c r="L101" s="241">
        <f t="shared" si="49"/>
        <v>3.0999999999999999E-3</v>
      </c>
      <c r="M101" s="240">
        <v>0.9</v>
      </c>
      <c r="N101" s="240">
        <v>1</v>
      </c>
      <c r="O101" s="240">
        <f t="shared" si="52"/>
        <v>0.9</v>
      </c>
      <c r="P101" s="225">
        <f t="shared" si="53"/>
        <v>0</v>
      </c>
      <c r="Q101" s="260">
        <f t="shared" si="56"/>
        <v>3.0999999999999999E-3</v>
      </c>
      <c r="R101" s="242">
        <v>0.5</v>
      </c>
      <c r="S101" s="228" t="e">
        <f>IF(DGcalcul!$I$19="yes",VLOOKUP(DGcalcul!$G$3,DGliste!$F$13:$G$19,2,0),HLOOKUP($A$91,'DGbase données'!$B$78:$E$81,3,0))</f>
        <v>#N/A</v>
      </c>
      <c r="T101" s="223">
        <f>DGbaseF2V!AF14</f>
        <v>2.7980700999999999E-4</v>
      </c>
      <c r="U101" s="241">
        <f t="shared" si="50"/>
        <v>3.0999999999999999E-3</v>
      </c>
      <c r="V101" s="240">
        <v>0.9</v>
      </c>
      <c r="W101" s="240">
        <v>1</v>
      </c>
      <c r="X101" s="240">
        <f t="shared" si="54"/>
        <v>0.9</v>
      </c>
      <c r="Y101" s="243" t="e">
        <f t="shared" si="55"/>
        <v>#N/A</v>
      </c>
      <c r="Z101" s="244">
        <v>0</v>
      </c>
      <c r="AA101" s="228" t="e">
        <f>IF(DGcalcul!$I$19="yes",VLOOKUP(DGcalcul!$G$3,DGliste!$F$13:$G$19,2,0),HLOOKUP($A$91,'DGbase données'!$B$78:$E$81,2,0))</f>
        <v>#N/A</v>
      </c>
      <c r="AB101" s="223">
        <f>DGbaseF2V!AC14</f>
        <v>-2.4914274999999998E-4</v>
      </c>
      <c r="AC101" s="231">
        <f>HLOOKUP(C101,DGbasecoll!$B$3:$M$4,2,0)</f>
        <v>19.52</v>
      </c>
      <c r="AD101" s="245">
        <v>0.187</v>
      </c>
      <c r="AE101" s="232">
        <f>DGbasevalo!C12</f>
        <v>1.6508956E-5</v>
      </c>
      <c r="AF101" s="245">
        <v>0.08</v>
      </c>
      <c r="AG101" s="231">
        <f>DGbasevalo!D12</f>
        <v>2.8546766999999999E-5</v>
      </c>
      <c r="AH101" s="246" t="e">
        <f t="shared" si="57"/>
        <v>#N/A</v>
      </c>
      <c r="AI101" s="234">
        <f>DGcalcul!$K$25</f>
        <v>0</v>
      </c>
      <c r="AJ101" s="234">
        <f>DGcalcul!$K$24</f>
        <v>0</v>
      </c>
      <c r="AK101" s="269">
        <f>DGbaseF2V!AD14</f>
        <v>-5.3084637E-4</v>
      </c>
      <c r="AL101" s="247">
        <f t="shared" si="51"/>
        <v>-5.3084637E-4</v>
      </c>
    </row>
    <row r="102" spans="1:38" x14ac:dyDescent="0.3">
      <c r="A102" s="216" t="s">
        <v>303</v>
      </c>
      <c r="B102" s="217" t="str">
        <f>DGcalcul!$E$19</f>
        <v>Mixed or Unknown collection</v>
      </c>
      <c r="C102" s="217" t="str">
        <f t="shared" si="47"/>
        <v>PHA Mixed or Unknown collection</v>
      </c>
      <c r="D102" s="237" t="s">
        <v>425</v>
      </c>
      <c r="E102" s="238" t="s">
        <v>426</v>
      </c>
      <c r="F102" s="220">
        <f>DGcalcul!$E$8</f>
        <v>0</v>
      </c>
      <c r="G102" s="218">
        <f>'DGbase données'!H12</f>
        <v>3.2901E-2</v>
      </c>
      <c r="H102" s="239">
        <f t="shared" si="48"/>
        <v>3.2901E-2</v>
      </c>
      <c r="I102" s="220">
        <f>DGcalcul!$E$8</f>
        <v>0</v>
      </c>
      <c r="J102" s="240">
        <v>0.5</v>
      </c>
      <c r="K102" s="223">
        <f>DGbaseF2V!AE15</f>
        <v>2.5822542E-3</v>
      </c>
      <c r="L102" s="241">
        <f t="shared" si="49"/>
        <v>3.2901E-2</v>
      </c>
      <c r="M102" s="240">
        <v>0.9</v>
      </c>
      <c r="N102" s="240">
        <v>1</v>
      </c>
      <c r="O102" s="240">
        <f t="shared" si="52"/>
        <v>0.9</v>
      </c>
      <c r="P102" s="225">
        <f t="shared" si="53"/>
        <v>0</v>
      </c>
      <c r="Q102" s="260">
        <f t="shared" si="56"/>
        <v>3.2901E-2</v>
      </c>
      <c r="R102" s="242">
        <v>0.5</v>
      </c>
      <c r="S102" s="228" t="e">
        <f>IF(DGcalcul!$I$19="yes",VLOOKUP(DGcalcul!$G$3,DGliste!$F$13:$G$19,2,0),HLOOKUP($A$91,'DGbase données'!$B$78:$E$81,3,0))</f>
        <v>#N/A</v>
      </c>
      <c r="T102" s="223">
        <f>DGbaseF2V!AF15</f>
        <v>2.5822542E-3</v>
      </c>
      <c r="U102" s="241">
        <f t="shared" si="50"/>
        <v>3.2901E-2</v>
      </c>
      <c r="V102" s="240">
        <v>0.9</v>
      </c>
      <c r="W102" s="240">
        <v>1</v>
      </c>
      <c r="X102" s="240">
        <f t="shared" si="54"/>
        <v>0.9</v>
      </c>
      <c r="Y102" s="243" t="e">
        <f t="shared" si="55"/>
        <v>#N/A</v>
      </c>
      <c r="Z102" s="244">
        <v>0</v>
      </c>
      <c r="AA102" s="228" t="e">
        <f>IF(DGcalcul!$I$19="yes",VLOOKUP(DGcalcul!$G$3,DGliste!$F$13:$G$19,2,0),HLOOKUP($A$91,'DGbase données'!$B$78:$E$81,2,0))</f>
        <v>#N/A</v>
      </c>
      <c r="AB102" s="223">
        <f>DGbaseF2V!AC15</f>
        <v>-2.8538828000000001E-3</v>
      </c>
      <c r="AC102" s="231">
        <f>HLOOKUP(C102,DGbasecoll!$B$3:$M$4,2,0)</f>
        <v>19.52</v>
      </c>
      <c r="AD102" s="245">
        <v>0.187</v>
      </c>
      <c r="AE102" s="232">
        <f>DGbasevalo!C13</f>
        <v>1.7353508999999999E-4</v>
      </c>
      <c r="AF102" s="245">
        <v>0.08</v>
      </c>
      <c r="AG102" s="231">
        <f>DGbasevalo!D13</f>
        <v>2.1237668000000001E-4</v>
      </c>
      <c r="AH102" s="246" t="e">
        <f t="shared" si="57"/>
        <v>#N/A</v>
      </c>
      <c r="AI102" s="234">
        <f>DGcalcul!$K$25</f>
        <v>0</v>
      </c>
      <c r="AJ102" s="234">
        <f>DGcalcul!$K$24</f>
        <v>0</v>
      </c>
      <c r="AK102" s="269">
        <f>DGbaseF2V!AD15</f>
        <v>-1.3010252E-3</v>
      </c>
      <c r="AL102" s="247">
        <f t="shared" si="51"/>
        <v>-1.3010252E-3</v>
      </c>
    </row>
    <row r="103" spans="1:38" x14ac:dyDescent="0.3">
      <c r="A103" s="216" t="s">
        <v>303</v>
      </c>
      <c r="B103" s="217" t="str">
        <f>DGcalcul!$E$19</f>
        <v>Mixed or Unknown collection</v>
      </c>
      <c r="C103" s="217" t="str">
        <f t="shared" si="47"/>
        <v>PHA Mixed or Unknown collection</v>
      </c>
      <c r="D103" s="237" t="s">
        <v>427</v>
      </c>
      <c r="E103" s="238" t="s">
        <v>428</v>
      </c>
      <c r="F103" s="220">
        <f>DGcalcul!$E$8</f>
        <v>0</v>
      </c>
      <c r="G103" s="218">
        <f>'DGbase données'!H13</f>
        <v>180.0052500763</v>
      </c>
      <c r="H103" s="239">
        <f t="shared" si="48"/>
        <v>180.0052500763</v>
      </c>
      <c r="I103" s="220">
        <f>DGcalcul!$E$8</f>
        <v>0</v>
      </c>
      <c r="J103" s="240">
        <v>0.5</v>
      </c>
      <c r="K103" s="223">
        <f>DGbaseF2V!AE16</f>
        <v>2.86206121E-3</v>
      </c>
      <c r="L103" s="241">
        <f t="shared" si="49"/>
        <v>180.0052500763</v>
      </c>
      <c r="M103" s="240">
        <v>0.9</v>
      </c>
      <c r="N103" s="240">
        <v>1</v>
      </c>
      <c r="O103" s="240">
        <f t="shared" si="52"/>
        <v>0.9</v>
      </c>
      <c r="P103" s="225">
        <f t="shared" si="53"/>
        <v>0</v>
      </c>
      <c r="Q103" s="260">
        <f t="shared" si="56"/>
        <v>180.0052500763</v>
      </c>
      <c r="R103" s="242">
        <v>0.5</v>
      </c>
      <c r="S103" s="228" t="e">
        <f>IF(DGcalcul!$I$19="yes",VLOOKUP(DGcalcul!$G$3,DGliste!$F$13:$G$19,2,0),HLOOKUP($A$91,'DGbase données'!$B$78:$E$81,3,0))</f>
        <v>#N/A</v>
      </c>
      <c r="T103" s="223">
        <f>DGbaseF2V!AF16</f>
        <v>2.86206121E-3</v>
      </c>
      <c r="U103" s="241">
        <f t="shared" si="50"/>
        <v>180.0052500763</v>
      </c>
      <c r="V103" s="240">
        <v>0.9</v>
      </c>
      <c r="W103" s="240">
        <v>1</v>
      </c>
      <c r="X103" s="240">
        <f t="shared" si="54"/>
        <v>0.9</v>
      </c>
      <c r="Y103" s="243" t="e">
        <f t="shared" si="55"/>
        <v>#N/A</v>
      </c>
      <c r="Z103" s="244">
        <v>0</v>
      </c>
      <c r="AA103" s="228" t="e">
        <f>IF(DGcalcul!$I$19="yes",VLOOKUP(DGcalcul!$G$3,DGliste!$F$13:$G$19,2,0),HLOOKUP($A$91,'DGbase données'!$B$78:$E$81,2,0))</f>
        <v>#N/A</v>
      </c>
      <c r="AB103" s="223">
        <f>DGbaseF2V!AC16</f>
        <v>-0.10686153</v>
      </c>
      <c r="AC103" s="231">
        <f>HLOOKUP(C103,DGbasecoll!$B$3:$M$4,2,0)</f>
        <v>19.52</v>
      </c>
      <c r="AD103" s="245">
        <v>0.187</v>
      </c>
      <c r="AE103" s="232">
        <f>DGbasevalo!C14</f>
        <v>0.42162807000000002</v>
      </c>
      <c r="AF103" s="245">
        <v>0.08</v>
      </c>
      <c r="AG103" s="231">
        <f>DGbasevalo!D14</f>
        <v>0.69846766999999998</v>
      </c>
      <c r="AH103" s="246" t="e">
        <f t="shared" si="57"/>
        <v>#N/A</v>
      </c>
      <c r="AI103" s="234">
        <f>DGcalcul!$K$25</f>
        <v>0</v>
      </c>
      <c r="AJ103" s="234">
        <f>DGcalcul!$K$24</f>
        <v>0</v>
      </c>
      <c r="AK103" s="269">
        <f>DGbaseF2V!AD16</f>
        <v>-1.7510954000000001</v>
      </c>
      <c r="AL103" s="247">
        <f t="shared" si="51"/>
        <v>-1.7510954000000001</v>
      </c>
    </row>
    <row r="104" spans="1:38" x14ac:dyDescent="0.3">
      <c r="A104" s="216" t="s">
        <v>303</v>
      </c>
      <c r="B104" s="217" t="str">
        <f>DGcalcul!$E$19</f>
        <v>Mixed or Unknown collection</v>
      </c>
      <c r="C104" s="217" t="str">
        <f t="shared" si="47"/>
        <v>PHA Mixed or Unknown collection</v>
      </c>
      <c r="D104" s="237" t="s">
        <v>429</v>
      </c>
      <c r="E104" s="238" t="s">
        <v>430</v>
      </c>
      <c r="F104" s="220">
        <f>DGcalcul!$E$8</f>
        <v>0</v>
      </c>
      <c r="G104" s="218">
        <f>'DGbase données'!H14</f>
        <v>0.15</v>
      </c>
      <c r="H104" s="239">
        <f t="shared" si="48"/>
        <v>0.15</v>
      </c>
      <c r="I104" s="220">
        <f>DGcalcul!$E$8</f>
        <v>0</v>
      </c>
      <c r="J104" s="240">
        <v>0.5</v>
      </c>
      <c r="K104" s="223">
        <f>DGbaseF2V!AE17</f>
        <v>1.0042628</v>
      </c>
      <c r="L104" s="241">
        <f t="shared" si="49"/>
        <v>0.15</v>
      </c>
      <c r="M104" s="240">
        <v>0.9</v>
      </c>
      <c r="N104" s="240">
        <v>1</v>
      </c>
      <c r="O104" s="240">
        <f t="shared" si="52"/>
        <v>0.9</v>
      </c>
      <c r="P104" s="225">
        <f t="shared" si="53"/>
        <v>0</v>
      </c>
      <c r="Q104" s="260">
        <f t="shared" si="56"/>
        <v>0.15</v>
      </c>
      <c r="R104" s="242">
        <v>0.5</v>
      </c>
      <c r="S104" s="228" t="e">
        <f>IF(DGcalcul!$I$19="yes",VLOOKUP(DGcalcul!$G$3,DGliste!$F$13:$G$19,2,0),HLOOKUP($A$91,'DGbase données'!$B$78:$E$81,3,0))</f>
        <v>#N/A</v>
      </c>
      <c r="T104" s="223">
        <f>DGbaseF2V!AF17</f>
        <v>1.0042628</v>
      </c>
      <c r="U104" s="241">
        <f t="shared" si="50"/>
        <v>0.15</v>
      </c>
      <c r="V104" s="240">
        <v>0.9</v>
      </c>
      <c r="W104" s="240">
        <v>1</v>
      </c>
      <c r="X104" s="240">
        <f t="shared" si="54"/>
        <v>0.9</v>
      </c>
      <c r="Y104" s="243" t="e">
        <f t="shared" si="55"/>
        <v>#N/A</v>
      </c>
      <c r="Z104" s="244">
        <v>0</v>
      </c>
      <c r="AA104" s="228" t="e">
        <f>IF(DGcalcul!$I$19="yes",VLOOKUP(DGcalcul!$G$3,DGliste!$F$13:$G$19,2,0),HLOOKUP($A$91,'DGbase données'!$B$78:$E$81,2,0))</f>
        <v>#N/A</v>
      </c>
      <c r="AB104" s="223">
        <f>DGbaseF2V!AC17</f>
        <v>0</v>
      </c>
      <c r="AC104" s="231">
        <f>HLOOKUP(C104,DGbasecoll!$B$3:$M$4,2,0)</f>
        <v>19.52</v>
      </c>
      <c r="AD104" s="245">
        <v>0.187</v>
      </c>
      <c r="AE104" s="232">
        <f>DGbasevalo!C15</f>
        <v>4.2297600999999997E-2</v>
      </c>
      <c r="AF104" s="245">
        <v>0.08</v>
      </c>
      <c r="AG104" s="231">
        <f>DGbasevalo!D15</f>
        <v>0.11007992</v>
      </c>
      <c r="AH104" s="246" t="e">
        <f t="shared" si="57"/>
        <v>#N/A</v>
      </c>
      <c r="AI104" s="234">
        <f>DGcalcul!$K$25</f>
        <v>0</v>
      </c>
      <c r="AJ104" s="234">
        <f>DGcalcul!$K$24</f>
        <v>0</v>
      </c>
      <c r="AK104" s="269">
        <f>DGbaseF2V!AD17</f>
        <v>0</v>
      </c>
      <c r="AL104" s="247">
        <f t="shared" si="51"/>
        <v>0</v>
      </c>
    </row>
    <row r="105" spans="1:38" x14ac:dyDescent="0.3">
      <c r="A105" s="216" t="s">
        <v>303</v>
      </c>
      <c r="B105" s="217" t="str">
        <f>DGcalcul!$E$19</f>
        <v>Mixed or Unknown collection</v>
      </c>
      <c r="C105" s="217" t="str">
        <f t="shared" si="47"/>
        <v>PHA Mixed or Unknown collection</v>
      </c>
      <c r="D105" s="237" t="s">
        <v>332</v>
      </c>
      <c r="E105" s="238" t="s">
        <v>431</v>
      </c>
      <c r="F105" s="220">
        <f>DGcalcul!$E$8</f>
        <v>0</v>
      </c>
      <c r="G105" s="218">
        <f>'DGbase données'!H15</f>
        <v>0.56999999999999995</v>
      </c>
      <c r="H105" s="239">
        <f t="shared" si="48"/>
        <v>0.56999999999999995</v>
      </c>
      <c r="I105" s="220">
        <f>DGcalcul!$E$8</f>
        <v>0</v>
      </c>
      <c r="J105" s="240">
        <v>0.5</v>
      </c>
      <c r="K105" s="223">
        <f>DGbaseF2V!AE18</f>
        <v>0.10940046</v>
      </c>
      <c r="L105" s="241">
        <f t="shared" si="49"/>
        <v>0.56999999999999995</v>
      </c>
      <c r="M105" s="240">
        <v>0.9</v>
      </c>
      <c r="N105" s="240">
        <v>1</v>
      </c>
      <c r="O105" s="240">
        <f t="shared" si="52"/>
        <v>0.9</v>
      </c>
      <c r="P105" s="225">
        <f t="shared" si="53"/>
        <v>0</v>
      </c>
      <c r="Q105" s="260">
        <f t="shared" si="56"/>
        <v>0.56999999999999995</v>
      </c>
      <c r="R105" s="242">
        <v>0.5</v>
      </c>
      <c r="S105" s="228" t="e">
        <f>IF(DGcalcul!$I$19="yes",VLOOKUP(DGcalcul!$G$3,DGliste!$F$13:$G$19,2,0),HLOOKUP($A$91,'DGbase données'!$B$78:$E$81,3,0))</f>
        <v>#N/A</v>
      </c>
      <c r="T105" s="223">
        <f>DGbaseF2V!AF18</f>
        <v>0.10940046</v>
      </c>
      <c r="U105" s="241">
        <f t="shared" si="50"/>
        <v>0.56999999999999995</v>
      </c>
      <c r="V105" s="240">
        <v>0.9</v>
      </c>
      <c r="W105" s="240">
        <v>1</v>
      </c>
      <c r="X105" s="240">
        <f t="shared" si="54"/>
        <v>0.9</v>
      </c>
      <c r="Y105" s="243" t="e">
        <f t="shared" si="55"/>
        <v>#N/A</v>
      </c>
      <c r="Z105" s="244">
        <v>0</v>
      </c>
      <c r="AA105" s="228" t="e">
        <f>IF(DGcalcul!$I$19="yes",VLOOKUP(DGcalcul!$G$3,DGliste!$F$13:$G$19,2,0),HLOOKUP($A$91,'DGbase données'!$B$78:$E$81,2,0))</f>
        <v>#N/A</v>
      </c>
      <c r="AB105" s="223">
        <f>DGbaseF2V!AC18</f>
        <v>-0.14063443</v>
      </c>
      <c r="AC105" s="231">
        <f>HLOOKUP(C105,DGbasecoll!$B$3:$M$4,2,0)</f>
        <v>19.52</v>
      </c>
      <c r="AD105" s="245">
        <v>0.187</v>
      </c>
      <c r="AE105" s="232">
        <f>DGbasevalo!C16</f>
        <v>9.3119741999999998E-4</v>
      </c>
      <c r="AF105" s="245">
        <v>0.08</v>
      </c>
      <c r="AG105" s="231">
        <f>DGbasevalo!D16</f>
        <v>7.6093280000000003E-3</v>
      </c>
      <c r="AH105" s="246" t="e">
        <f t="shared" si="57"/>
        <v>#N/A</v>
      </c>
      <c r="AI105" s="234">
        <f>DGcalcul!$K$25</f>
        <v>0</v>
      </c>
      <c r="AJ105" s="234">
        <f>DGcalcul!$K$24</f>
        <v>0</v>
      </c>
      <c r="AK105" s="269">
        <f>DGbaseF2V!AD18</f>
        <v>-9.2822962999999994E-3</v>
      </c>
      <c r="AL105" s="247">
        <f t="shared" si="51"/>
        <v>-9.2822962999999994E-3</v>
      </c>
    </row>
    <row r="106" spans="1:38" x14ac:dyDescent="0.3">
      <c r="A106" s="216" t="s">
        <v>303</v>
      </c>
      <c r="B106" s="217" t="str">
        <f>DGcalcul!$E$19</f>
        <v>Mixed or Unknown collection</v>
      </c>
      <c r="C106" s="217" t="str">
        <f t="shared" si="47"/>
        <v>PHA Mixed or Unknown collection</v>
      </c>
      <c r="D106" s="237" t="s">
        <v>432</v>
      </c>
      <c r="E106" s="238" t="s">
        <v>347</v>
      </c>
      <c r="F106" s="220">
        <f>DGcalcul!$E$8</f>
        <v>0</v>
      </c>
      <c r="G106" s="218">
        <f>'DGbase données'!H16</f>
        <v>120</v>
      </c>
      <c r="H106" s="239">
        <f t="shared" si="48"/>
        <v>120</v>
      </c>
      <c r="I106" s="220">
        <f>DGcalcul!$E$8</f>
        <v>0</v>
      </c>
      <c r="J106" s="240">
        <v>0.5</v>
      </c>
      <c r="K106" s="223">
        <f>DGbaseF2V!AE19</f>
        <v>3.9996920999999999</v>
      </c>
      <c r="L106" s="241">
        <f t="shared" si="49"/>
        <v>120</v>
      </c>
      <c r="M106" s="240">
        <v>0.9</v>
      </c>
      <c r="N106" s="240">
        <v>1</v>
      </c>
      <c r="O106" s="240">
        <f t="shared" si="52"/>
        <v>0.9</v>
      </c>
      <c r="P106" s="225">
        <f t="shared" si="53"/>
        <v>0</v>
      </c>
      <c r="Q106" s="260">
        <f t="shared" si="56"/>
        <v>120</v>
      </c>
      <c r="R106" s="242">
        <v>0.5</v>
      </c>
      <c r="S106" s="228" t="e">
        <f>IF(DGcalcul!$I$19="yes",VLOOKUP(DGcalcul!$G$3,DGliste!$F$13:$G$19,2,0),HLOOKUP($A$91,'DGbase données'!$B$78:$E$81,3,0))</f>
        <v>#N/A</v>
      </c>
      <c r="T106" s="223">
        <f>DGbaseF2V!AF19</f>
        <v>3.9996920999999999</v>
      </c>
      <c r="U106" s="241">
        <f t="shared" si="50"/>
        <v>120</v>
      </c>
      <c r="V106" s="240">
        <v>0.9</v>
      </c>
      <c r="W106" s="240">
        <v>1</v>
      </c>
      <c r="X106" s="240">
        <f t="shared" si="54"/>
        <v>0.9</v>
      </c>
      <c r="Y106" s="243" t="e">
        <f t="shared" si="55"/>
        <v>#N/A</v>
      </c>
      <c r="Z106" s="244">
        <v>0</v>
      </c>
      <c r="AA106" s="228" t="e">
        <f>IF(DGcalcul!$I$19="yes",VLOOKUP(DGcalcul!$G$3,DGliste!$F$13:$G$19,2,0),HLOOKUP($A$91,'DGbase données'!$B$78:$E$81,2,0))</f>
        <v>#N/A</v>
      </c>
      <c r="AB106" s="223">
        <f>DGbaseF2V!AC19</f>
        <v>-0.63826022000000004</v>
      </c>
      <c r="AC106" s="231">
        <f>HLOOKUP(C106,DGbasecoll!$B$3:$M$4,2,0)</f>
        <v>19.52</v>
      </c>
      <c r="AD106" s="245">
        <v>0.187</v>
      </c>
      <c r="AE106" s="232">
        <f>DGbasevalo!C17</f>
        <v>1.1585103000000001</v>
      </c>
      <c r="AF106" s="245">
        <v>0.08</v>
      </c>
      <c r="AG106" s="231">
        <f>DGbasevalo!D17</f>
        <v>3.2057147000000001</v>
      </c>
      <c r="AH106" s="246" t="e">
        <f t="shared" si="57"/>
        <v>#N/A</v>
      </c>
      <c r="AI106" s="234">
        <f>DGcalcul!$K$25</f>
        <v>0</v>
      </c>
      <c r="AJ106" s="234">
        <f>DGcalcul!$K$24</f>
        <v>0</v>
      </c>
      <c r="AK106" s="269">
        <f>DGbaseF2V!AD19</f>
        <v>-1.1173523999999999</v>
      </c>
      <c r="AL106" s="247">
        <f t="shared" si="51"/>
        <v>-1.1173523999999999</v>
      </c>
    </row>
    <row r="107" spans="1:38" x14ac:dyDescent="0.3">
      <c r="A107" s="216" t="s">
        <v>303</v>
      </c>
      <c r="B107" s="217" t="str">
        <f>DGcalcul!$E$19</f>
        <v>Mixed or Unknown collection</v>
      </c>
      <c r="C107" s="217" t="str">
        <f t="shared" si="47"/>
        <v>PHA Mixed or Unknown collection</v>
      </c>
      <c r="D107" s="248" t="s">
        <v>334</v>
      </c>
      <c r="E107" s="249" t="s">
        <v>348</v>
      </c>
      <c r="F107" s="220">
        <f>DGcalcul!$E$8</f>
        <v>0</v>
      </c>
      <c r="G107" s="218">
        <f>'DGbase données'!H17</f>
        <v>1.9999999999999999E-7</v>
      </c>
      <c r="H107" s="250">
        <f t="shared" si="48"/>
        <v>1.9999999999999999E-7</v>
      </c>
      <c r="I107" s="220">
        <f>DGcalcul!$E$8</f>
        <v>0</v>
      </c>
      <c r="J107" s="240">
        <v>0.5</v>
      </c>
      <c r="K107" s="223">
        <f>DGbaseF2V!AE20</f>
        <v>6.6624555999999996E-7</v>
      </c>
      <c r="L107" s="248">
        <f t="shared" si="49"/>
        <v>1.9999999999999999E-7</v>
      </c>
      <c r="M107" s="251">
        <v>0.9</v>
      </c>
      <c r="N107" s="251">
        <v>1</v>
      </c>
      <c r="O107" s="251">
        <f t="shared" si="52"/>
        <v>0.9</v>
      </c>
      <c r="P107" s="225">
        <f t="shared" si="53"/>
        <v>0</v>
      </c>
      <c r="Q107" s="268">
        <f t="shared" si="56"/>
        <v>1.9999999999999999E-7</v>
      </c>
      <c r="R107" s="252">
        <v>0.5</v>
      </c>
      <c r="S107" s="228" t="e">
        <f>IF(DGcalcul!$I$19="yes",VLOOKUP(DGcalcul!$G$3,DGliste!$F$13:$G$19,2,0),HLOOKUP($A$91,'DGbase données'!$B$78:$E$81,3,0))</f>
        <v>#N/A</v>
      </c>
      <c r="T107" s="223">
        <f>DGbaseF2V!AF20</f>
        <v>6.6624555999999996E-7</v>
      </c>
      <c r="U107" s="248">
        <f t="shared" si="50"/>
        <v>1.9999999999999999E-7</v>
      </c>
      <c r="V107" s="251">
        <v>0.9</v>
      </c>
      <c r="W107" s="251">
        <v>1</v>
      </c>
      <c r="X107" s="251">
        <f t="shared" si="54"/>
        <v>0.9</v>
      </c>
      <c r="Y107" s="253" t="e">
        <f t="shared" si="55"/>
        <v>#N/A</v>
      </c>
      <c r="Z107" s="254">
        <v>0</v>
      </c>
      <c r="AA107" s="228" t="e">
        <f>IF(DGcalcul!$I$19="yes",VLOOKUP(DGcalcul!$G$3,DGliste!$F$13:$G$19,2,0),HLOOKUP($A$91,'DGbase données'!$B$78:$E$81,2,0))</f>
        <v>#N/A</v>
      </c>
      <c r="AB107" s="223">
        <f>DGbaseF2V!AC20</f>
        <v>1.1018826999999999E-7</v>
      </c>
      <c r="AC107" s="231">
        <f>HLOOKUP(C107,DGbasecoll!$B$3:$M$4,2,0)</f>
        <v>19.52</v>
      </c>
      <c r="AD107" s="255">
        <v>0.187</v>
      </c>
      <c r="AE107" s="232">
        <f>DGbasevalo!C18</f>
        <v>9.4112040000000002E-8</v>
      </c>
      <c r="AF107" s="255">
        <v>0.08</v>
      </c>
      <c r="AG107" s="231">
        <f>DGbasevalo!D18</f>
        <v>2.2040323999999999E-7</v>
      </c>
      <c r="AH107" s="256" t="e">
        <f t="shared" si="57"/>
        <v>#N/A</v>
      </c>
      <c r="AI107" s="234">
        <f>DGcalcul!$K$25</f>
        <v>0</v>
      </c>
      <c r="AJ107" s="234">
        <f>DGcalcul!$K$24</f>
        <v>0</v>
      </c>
      <c r="AK107" s="269">
        <f>DGbaseF2V!AD20</f>
        <v>-5.4718062999999996E-9</v>
      </c>
      <c r="AL107" s="257">
        <f t="shared" si="51"/>
        <v>-5.4718062999999996E-9</v>
      </c>
    </row>
    <row r="108" spans="1:38" ht="18" x14ac:dyDescent="0.35">
      <c r="A108" s="201" t="s">
        <v>796</v>
      </c>
      <c r="B108" s="202"/>
      <c r="C108" s="350"/>
      <c r="D108" s="203"/>
      <c r="E108" s="203"/>
      <c r="H108" s="438"/>
    </row>
    <row r="109" spans="1:38" x14ac:dyDescent="0.3">
      <c r="A109" s="216" t="s">
        <v>796</v>
      </c>
      <c r="B109" s="217" t="str">
        <f>DGcalcul!$E$19</f>
        <v>Mixed or Unknown collection</v>
      </c>
      <c r="C109" s="217" t="str">
        <f t="shared" ref="C109:C124" si="58">CONCATENATE(A109," ",B109)</f>
        <v>Unknown Mixed or Unknown collection</v>
      </c>
      <c r="D109" s="218" t="s">
        <v>327</v>
      </c>
      <c r="E109" s="219" t="s">
        <v>336</v>
      </c>
      <c r="F109" s="220">
        <f>DGcalcul!$E$8</f>
        <v>0</v>
      </c>
      <c r="G109" s="150">
        <f>'DGbase données'!T2</f>
        <v>3.1946540926666676</v>
      </c>
      <c r="H109" s="250">
        <f t="shared" si="48"/>
        <v>3.1946540926666676</v>
      </c>
      <c r="I109" s="220">
        <f>DGcalcul!$E$8</f>
        <v>0</v>
      </c>
      <c r="J109" s="2">
        <v>0.5</v>
      </c>
      <c r="K109" s="150">
        <f>AVERAGE(K7,K24,K41,K58,K75,K92)</f>
        <v>0.2543870416666667</v>
      </c>
      <c r="L109" s="150">
        <f t="shared" ref="L109:AK109" si="59">AVERAGE(L7,L24,L41,L58,L75,L92)</f>
        <v>3.2338087500000001</v>
      </c>
      <c r="M109" s="150">
        <f t="shared" si="59"/>
        <v>0.875</v>
      </c>
      <c r="N109" s="150">
        <f t="shared" si="59"/>
        <v>1</v>
      </c>
      <c r="O109" s="150">
        <f t="shared" si="59"/>
        <v>0.875</v>
      </c>
      <c r="P109" s="150">
        <f t="shared" si="59"/>
        <v>0</v>
      </c>
      <c r="Q109" s="150">
        <f t="shared" si="59"/>
        <v>3.2338087500000001</v>
      </c>
      <c r="R109" s="150">
        <f t="shared" si="59"/>
        <v>0.5</v>
      </c>
      <c r="S109" s="150" t="e">
        <f t="shared" si="59"/>
        <v>#N/A</v>
      </c>
      <c r="T109" s="150">
        <f t="shared" si="59"/>
        <v>0.50982638166666672</v>
      </c>
      <c r="U109" s="150">
        <f t="shared" si="59"/>
        <v>3.2338087500000001</v>
      </c>
      <c r="V109" s="150">
        <f t="shared" si="59"/>
        <v>0.875</v>
      </c>
      <c r="W109" s="150">
        <f t="shared" si="59"/>
        <v>1</v>
      </c>
      <c r="X109" s="150">
        <f t="shared" si="59"/>
        <v>0.875</v>
      </c>
      <c r="Y109" s="150" t="e">
        <f t="shared" si="59"/>
        <v>#N/A</v>
      </c>
      <c r="Z109" s="150">
        <f t="shared" si="59"/>
        <v>0</v>
      </c>
      <c r="AA109" s="150" t="e">
        <f t="shared" si="59"/>
        <v>#N/A</v>
      </c>
      <c r="AB109" s="150">
        <f t="shared" si="59"/>
        <v>-0.58542707359158175</v>
      </c>
      <c r="AC109" s="150">
        <f t="shared" si="59"/>
        <v>19.52</v>
      </c>
      <c r="AD109" s="150">
        <f t="shared" si="59"/>
        <v>0.18700000000000003</v>
      </c>
      <c r="AE109" s="150">
        <f t="shared" si="59"/>
        <v>7.7330222000000004E-2</v>
      </c>
      <c r="AF109" s="150">
        <f t="shared" si="59"/>
        <v>0.08</v>
      </c>
      <c r="AG109" s="150">
        <f t="shared" si="59"/>
        <v>2.2289777E-2</v>
      </c>
      <c r="AH109" s="150" t="e">
        <f>AVERAGE(AH7,AH24,AH41,AH58,AH75,AH92)</f>
        <v>#N/A</v>
      </c>
      <c r="AI109" s="150">
        <f t="shared" si="59"/>
        <v>0</v>
      </c>
      <c r="AJ109" s="150">
        <f t="shared" si="59"/>
        <v>0</v>
      </c>
      <c r="AK109" s="150">
        <f t="shared" si="59"/>
        <v>-0.15475050500000001</v>
      </c>
      <c r="AL109" s="150">
        <f>AVERAGE(AL7,AL24,AL41,AL58,AL75,AL92)</f>
        <v>-0.15475050500000001</v>
      </c>
    </row>
    <row r="110" spans="1:38" x14ac:dyDescent="0.3">
      <c r="A110" s="216" t="s">
        <v>796</v>
      </c>
      <c r="B110" s="217" t="str">
        <f>DGcalcul!$E$19</f>
        <v>Mixed or Unknown collection</v>
      </c>
      <c r="C110" s="217" t="str">
        <f t="shared" si="58"/>
        <v>Unknown Mixed or Unknown collection</v>
      </c>
      <c r="D110" s="237" t="s">
        <v>416</v>
      </c>
      <c r="E110" s="238" t="s">
        <v>417</v>
      </c>
      <c r="F110" s="220">
        <f>DGcalcul!$E$8</f>
        <v>0</v>
      </c>
      <c r="G110" s="150">
        <f>'DGbase données'!T3</f>
        <v>4.5936249212333326E-6</v>
      </c>
      <c r="H110" s="250">
        <f t="shared" si="48"/>
        <v>4.5936249212333326E-6</v>
      </c>
      <c r="I110" s="220">
        <f>DGcalcul!$E$8</f>
        <v>0</v>
      </c>
      <c r="J110" s="2">
        <v>0.5</v>
      </c>
      <c r="K110" s="150">
        <f t="shared" ref="K110:AL110" si="60">AVERAGE(K8,K25,K42,K59,K76,K93)</f>
        <v>6.7915838666666672E-9</v>
      </c>
      <c r="L110" s="150">
        <f t="shared" si="60"/>
        <v>1.1412806709999999E-5</v>
      </c>
      <c r="M110" s="150">
        <f t="shared" si="60"/>
        <v>0.875</v>
      </c>
      <c r="N110" s="150">
        <f t="shared" si="60"/>
        <v>1</v>
      </c>
      <c r="O110" s="150">
        <f t="shared" si="60"/>
        <v>0.875</v>
      </c>
      <c r="P110" s="150">
        <f t="shared" si="60"/>
        <v>0</v>
      </c>
      <c r="Q110" s="150">
        <f t="shared" si="60"/>
        <v>1.1412806709999999E-5</v>
      </c>
      <c r="R110" s="150">
        <f t="shared" si="60"/>
        <v>0.5</v>
      </c>
      <c r="S110" s="150" t="e">
        <f t="shared" si="60"/>
        <v>#N/A</v>
      </c>
      <c r="T110" s="150">
        <f t="shared" si="60"/>
        <v>4.5906717416666665E-8</v>
      </c>
      <c r="U110" s="150">
        <f t="shared" si="60"/>
        <v>1.1412806709999999E-5</v>
      </c>
      <c r="V110" s="150">
        <f t="shared" si="60"/>
        <v>0.875</v>
      </c>
      <c r="W110" s="150">
        <f t="shared" si="60"/>
        <v>1</v>
      </c>
      <c r="X110" s="150">
        <f t="shared" si="60"/>
        <v>0.875</v>
      </c>
      <c r="Y110" s="150" t="e">
        <f t="shared" si="60"/>
        <v>#N/A</v>
      </c>
      <c r="Z110" s="150">
        <f t="shared" si="60"/>
        <v>0</v>
      </c>
      <c r="AA110" s="150" t="e">
        <f t="shared" si="60"/>
        <v>#N/A</v>
      </c>
      <c r="AB110" s="150">
        <f t="shared" si="60"/>
        <v>4.2284424886114169E-2</v>
      </c>
      <c r="AC110" s="150">
        <f t="shared" si="60"/>
        <v>19.52</v>
      </c>
      <c r="AD110" s="150">
        <f t="shared" si="60"/>
        <v>0.18700000000000003</v>
      </c>
      <c r="AE110" s="150">
        <f t="shared" si="60"/>
        <v>8.0992136000000005E-9</v>
      </c>
      <c r="AF110" s="150">
        <f t="shared" si="60"/>
        <v>0.08</v>
      </c>
      <c r="AG110" s="150">
        <f t="shared" si="60"/>
        <v>2.3413112999999996E-9</v>
      </c>
      <c r="AH110" s="150" t="e">
        <f t="shared" si="60"/>
        <v>#N/A</v>
      </c>
      <c r="AI110" s="150">
        <f t="shared" si="60"/>
        <v>0</v>
      </c>
      <c r="AJ110" s="150">
        <f t="shared" si="60"/>
        <v>0</v>
      </c>
      <c r="AK110" s="150">
        <f t="shared" si="60"/>
        <v>-2.2703685333333333E-9</v>
      </c>
      <c r="AL110" s="150">
        <f t="shared" si="60"/>
        <v>-2.2703685333333333E-9</v>
      </c>
    </row>
    <row r="111" spans="1:38" x14ac:dyDescent="0.3">
      <c r="A111" s="216" t="s">
        <v>796</v>
      </c>
      <c r="B111" s="217" t="str">
        <f>DGcalcul!$E$19</f>
        <v>Mixed or Unknown collection</v>
      </c>
      <c r="C111" s="217" t="str">
        <f t="shared" si="58"/>
        <v>Unknown Mixed or Unknown collection</v>
      </c>
      <c r="D111" s="237" t="s">
        <v>418</v>
      </c>
      <c r="E111" s="238" t="s">
        <v>419</v>
      </c>
      <c r="F111" s="220">
        <f>DGcalcul!$E$8</f>
        <v>0</v>
      </c>
      <c r="G111" s="150">
        <f>'DGbase données'!T4</f>
        <v>0.1899780358</v>
      </c>
      <c r="H111" s="250">
        <f t="shared" si="48"/>
        <v>0.1899780358</v>
      </c>
      <c r="I111" s="220">
        <f>DGcalcul!$E$8</f>
        <v>0</v>
      </c>
      <c r="J111" s="2">
        <v>0.5</v>
      </c>
      <c r="K111" s="150">
        <f t="shared" ref="K111:AL111" si="61">AVERAGE(K9,K26,K43,K60,K77,K94)</f>
        <v>0.11353484650000001</v>
      </c>
      <c r="L111" s="150">
        <f t="shared" si="61"/>
        <v>0.15447510216666668</v>
      </c>
      <c r="M111" s="150">
        <f t="shared" si="61"/>
        <v>0.875</v>
      </c>
      <c r="N111" s="150">
        <f t="shared" si="61"/>
        <v>1</v>
      </c>
      <c r="O111" s="150">
        <f t="shared" si="61"/>
        <v>0.875</v>
      </c>
      <c r="P111" s="150">
        <f t="shared" si="61"/>
        <v>0</v>
      </c>
      <c r="Q111" s="150">
        <f t="shared" si="61"/>
        <v>0.15447510216666668</v>
      </c>
      <c r="R111" s="150">
        <f t="shared" si="61"/>
        <v>0.5</v>
      </c>
      <c r="S111" s="150" t="e">
        <f t="shared" si="61"/>
        <v>#N/A</v>
      </c>
      <c r="T111" s="150">
        <f t="shared" si="61"/>
        <v>2.7497054178333333</v>
      </c>
      <c r="U111" s="150">
        <f t="shared" si="61"/>
        <v>0.15447510216666668</v>
      </c>
      <c r="V111" s="150">
        <f t="shared" si="61"/>
        <v>0.875</v>
      </c>
      <c r="W111" s="150">
        <f t="shared" si="61"/>
        <v>1</v>
      </c>
      <c r="X111" s="150">
        <f t="shared" si="61"/>
        <v>0.875</v>
      </c>
      <c r="Y111" s="150" t="e">
        <f t="shared" si="61"/>
        <v>#N/A</v>
      </c>
      <c r="Z111" s="150">
        <f t="shared" si="61"/>
        <v>0</v>
      </c>
      <c r="AA111" s="150" t="e">
        <f t="shared" si="61"/>
        <v>#N/A</v>
      </c>
      <c r="AB111" s="150">
        <f t="shared" si="61"/>
        <v>0.16932561171666669</v>
      </c>
      <c r="AC111" s="150">
        <f t="shared" si="61"/>
        <v>19.52</v>
      </c>
      <c r="AD111" s="150">
        <f t="shared" si="61"/>
        <v>0.18700000000000003</v>
      </c>
      <c r="AE111" s="150">
        <f t="shared" si="61"/>
        <v>1.1716807000000001E-3</v>
      </c>
      <c r="AF111" s="150">
        <f t="shared" si="61"/>
        <v>0.08</v>
      </c>
      <c r="AG111" s="150">
        <f t="shared" si="61"/>
        <v>0.14722304</v>
      </c>
      <c r="AH111" s="150" t="e">
        <f t="shared" si="61"/>
        <v>#N/A</v>
      </c>
      <c r="AI111" s="150">
        <f t="shared" si="61"/>
        <v>0</v>
      </c>
      <c r="AJ111" s="150">
        <f t="shared" si="61"/>
        <v>0</v>
      </c>
      <c r="AK111" s="150">
        <f t="shared" si="61"/>
        <v>-3.5874141333333332E-3</v>
      </c>
      <c r="AL111" s="150">
        <f t="shared" si="61"/>
        <v>-3.5874141333333332E-3</v>
      </c>
    </row>
    <row r="112" spans="1:38" x14ac:dyDescent="0.3">
      <c r="A112" s="216" t="s">
        <v>796</v>
      </c>
      <c r="B112" s="217" t="str">
        <f>DGcalcul!$E$19</f>
        <v>Mixed or Unknown collection</v>
      </c>
      <c r="C112" s="217" t="str">
        <f t="shared" si="58"/>
        <v>Unknown Mixed or Unknown collection</v>
      </c>
      <c r="D112" s="237" t="s">
        <v>328</v>
      </c>
      <c r="E112" s="238" t="s">
        <v>342</v>
      </c>
      <c r="F112" s="220">
        <f>DGcalcul!$E$8</f>
        <v>0</v>
      </c>
      <c r="G112" s="150">
        <f>'DGbase données'!T5</f>
        <v>1.1966013906666665E-2</v>
      </c>
      <c r="H112" s="250">
        <f t="shared" si="48"/>
        <v>1.1966013906666665E-2</v>
      </c>
      <c r="I112" s="220">
        <f>DGcalcul!$E$8</f>
        <v>0</v>
      </c>
      <c r="J112" s="2">
        <v>0.5</v>
      </c>
      <c r="K112" s="150">
        <f t="shared" ref="K112:AL112" si="62">AVERAGE(K10,K27,K44,K61,K78,K95)</f>
        <v>6.4985144166666668E-4</v>
      </c>
      <c r="L112" s="150">
        <f t="shared" si="62"/>
        <v>1.0634814583333332E-2</v>
      </c>
      <c r="M112" s="150">
        <f t="shared" si="62"/>
        <v>0.875</v>
      </c>
      <c r="N112" s="150">
        <f t="shared" si="62"/>
        <v>1</v>
      </c>
      <c r="O112" s="150">
        <f t="shared" si="62"/>
        <v>0.875</v>
      </c>
      <c r="P112" s="150">
        <f t="shared" si="62"/>
        <v>0</v>
      </c>
      <c r="Q112" s="150">
        <f t="shared" si="62"/>
        <v>1.0634814583333332E-2</v>
      </c>
      <c r="R112" s="150">
        <f t="shared" si="62"/>
        <v>0.5</v>
      </c>
      <c r="S112" s="150" t="e">
        <f t="shared" si="62"/>
        <v>#N/A</v>
      </c>
      <c r="T112" s="150">
        <f t="shared" si="62"/>
        <v>1.3190890616666664E-3</v>
      </c>
      <c r="U112" s="150">
        <f t="shared" si="62"/>
        <v>1.0634814583333332E-2</v>
      </c>
      <c r="V112" s="150">
        <f t="shared" si="62"/>
        <v>0.875</v>
      </c>
      <c r="W112" s="150">
        <f t="shared" si="62"/>
        <v>1</v>
      </c>
      <c r="X112" s="150">
        <f t="shared" si="62"/>
        <v>0.875</v>
      </c>
      <c r="Y112" s="150" t="e">
        <f t="shared" si="62"/>
        <v>#N/A</v>
      </c>
      <c r="Z112" s="150">
        <f t="shared" si="62"/>
        <v>0</v>
      </c>
      <c r="AA112" s="150" t="e">
        <f t="shared" si="62"/>
        <v>#N/A</v>
      </c>
      <c r="AB112" s="150">
        <f t="shared" si="62"/>
        <v>3.1573369586899995E-3</v>
      </c>
      <c r="AC112" s="150">
        <f t="shared" si="62"/>
        <v>19.52</v>
      </c>
      <c r="AD112" s="150">
        <f t="shared" si="62"/>
        <v>0.18700000000000003</v>
      </c>
      <c r="AE112" s="150">
        <f t="shared" si="62"/>
        <v>7.9413265000000005E-5</v>
      </c>
      <c r="AF112" s="150">
        <f t="shared" si="62"/>
        <v>0.08</v>
      </c>
      <c r="AG112" s="150">
        <f t="shared" si="62"/>
        <v>5.8075829000000003E-5</v>
      </c>
      <c r="AH112" s="150" t="e">
        <f t="shared" si="62"/>
        <v>#N/A</v>
      </c>
      <c r="AI112" s="150">
        <f t="shared" si="62"/>
        <v>0</v>
      </c>
      <c r="AJ112" s="150">
        <f t="shared" si="62"/>
        <v>0</v>
      </c>
      <c r="AK112" s="150">
        <f t="shared" si="62"/>
        <v>-2.3757550666666667E-4</v>
      </c>
      <c r="AL112" s="150">
        <f t="shared" si="62"/>
        <v>-2.3757550666666667E-4</v>
      </c>
    </row>
    <row r="113" spans="1:38" x14ac:dyDescent="0.3">
      <c r="A113" s="216" t="s">
        <v>796</v>
      </c>
      <c r="B113" s="217" t="str">
        <f>DGcalcul!$E$19</f>
        <v>Mixed or Unknown collection</v>
      </c>
      <c r="C113" s="217" t="str">
        <f t="shared" si="58"/>
        <v>Unknown Mixed or Unknown collection</v>
      </c>
      <c r="D113" s="237" t="s">
        <v>329</v>
      </c>
      <c r="E113" s="238" t="s">
        <v>343</v>
      </c>
      <c r="F113" s="220">
        <f>DGcalcul!$E$8</f>
        <v>0</v>
      </c>
      <c r="G113" s="150">
        <f>'DGbase données'!T6</f>
        <v>2.1766048286666667E-7</v>
      </c>
      <c r="H113" s="250">
        <f t="shared" si="48"/>
        <v>2.1766048286666667E-7</v>
      </c>
      <c r="I113" s="220">
        <f>DGcalcul!$E$8</f>
        <v>0</v>
      </c>
      <c r="J113" s="2">
        <v>0.5</v>
      </c>
      <c r="K113" s="150">
        <f t="shared" ref="K113:AL113" si="63">AVERAGE(K11,K28,K45,K62,K79,K96)</f>
        <v>5.8658129166666663E-9</v>
      </c>
      <c r="L113" s="150">
        <f t="shared" si="63"/>
        <v>1.2197640766666665E-7</v>
      </c>
      <c r="M113" s="150">
        <f t="shared" si="63"/>
        <v>0.875</v>
      </c>
      <c r="N113" s="150">
        <f t="shared" si="63"/>
        <v>1</v>
      </c>
      <c r="O113" s="150">
        <f t="shared" si="63"/>
        <v>0.875</v>
      </c>
      <c r="P113" s="150">
        <f t="shared" si="63"/>
        <v>0</v>
      </c>
      <c r="Q113" s="150">
        <f t="shared" si="63"/>
        <v>1.2197640766666665E-7</v>
      </c>
      <c r="R113" s="150">
        <f t="shared" si="63"/>
        <v>0.5</v>
      </c>
      <c r="S113" s="150" t="e">
        <f t="shared" si="63"/>
        <v>#N/A</v>
      </c>
      <c r="T113" s="150">
        <f t="shared" si="63"/>
        <v>2.4564521783333331E-8</v>
      </c>
      <c r="U113" s="150">
        <f t="shared" si="63"/>
        <v>1.2197640766666665E-7</v>
      </c>
      <c r="V113" s="150">
        <f t="shared" si="63"/>
        <v>0.875</v>
      </c>
      <c r="W113" s="150">
        <f t="shared" si="63"/>
        <v>1</v>
      </c>
      <c r="X113" s="150">
        <f t="shared" si="63"/>
        <v>0.875</v>
      </c>
      <c r="Y113" s="150" t="e">
        <f t="shared" si="63"/>
        <v>#N/A</v>
      </c>
      <c r="Z113" s="150">
        <f t="shared" si="63"/>
        <v>0</v>
      </c>
      <c r="AA113" s="150" t="e">
        <f t="shared" si="63"/>
        <v>#N/A</v>
      </c>
      <c r="AB113" s="150">
        <f t="shared" si="63"/>
        <v>9.8633638333333344E-8</v>
      </c>
      <c r="AC113" s="150">
        <f t="shared" si="63"/>
        <v>19.52</v>
      </c>
      <c r="AD113" s="150">
        <f t="shared" si="63"/>
        <v>0.18700000000000003</v>
      </c>
      <c r="AE113" s="150">
        <f t="shared" si="63"/>
        <v>3.815356E-10</v>
      </c>
      <c r="AF113" s="150">
        <f t="shared" si="63"/>
        <v>0.08</v>
      </c>
      <c r="AG113" s="150">
        <f t="shared" si="63"/>
        <v>1.2179878E-9</v>
      </c>
      <c r="AH113" s="150" t="e">
        <f t="shared" si="63"/>
        <v>#N/A</v>
      </c>
      <c r="AI113" s="150">
        <f t="shared" si="63"/>
        <v>0</v>
      </c>
      <c r="AJ113" s="150">
        <f t="shared" si="63"/>
        <v>0</v>
      </c>
      <c r="AK113" s="150">
        <f t="shared" si="63"/>
        <v>-2.2226480499999999E-8</v>
      </c>
      <c r="AL113" s="150">
        <f t="shared" si="63"/>
        <v>-2.2226480499999999E-8</v>
      </c>
    </row>
    <row r="114" spans="1:38" x14ac:dyDescent="0.3">
      <c r="A114" s="216" t="s">
        <v>796</v>
      </c>
      <c r="B114" s="217" t="str">
        <f>DGcalcul!$E$19</f>
        <v>Mixed or Unknown collection</v>
      </c>
      <c r="C114" s="217" t="str">
        <f t="shared" si="58"/>
        <v>Unknown Mixed or Unknown collection</v>
      </c>
      <c r="D114" s="237" t="s">
        <v>420</v>
      </c>
      <c r="E114" s="238" t="s">
        <v>421</v>
      </c>
      <c r="F114" s="220">
        <f>DGcalcul!$E$8</f>
        <v>0</v>
      </c>
      <c r="G114" s="150">
        <f>'DGbase données'!T7</f>
        <v>7.6419223699999998E-8</v>
      </c>
      <c r="H114" s="250">
        <f t="shared" si="48"/>
        <v>7.6419223699999998E-8</v>
      </c>
      <c r="I114" s="220">
        <f>DGcalcul!$E$8</f>
        <v>0</v>
      </c>
      <c r="J114" s="2">
        <v>0.5</v>
      </c>
      <c r="K114" s="150">
        <f t="shared" ref="K114:AL114" si="64">AVERAGE(K12,K29,K46,K63,K80,K97)</f>
        <v>1.5994576500000001E-9</v>
      </c>
      <c r="L114" s="150">
        <f t="shared" si="64"/>
        <v>1.2681071499999998E-7</v>
      </c>
      <c r="M114" s="150">
        <f t="shared" si="64"/>
        <v>0.875</v>
      </c>
      <c r="N114" s="150">
        <f t="shared" si="64"/>
        <v>1</v>
      </c>
      <c r="O114" s="150">
        <f t="shared" si="64"/>
        <v>0.875</v>
      </c>
      <c r="P114" s="150">
        <f t="shared" si="64"/>
        <v>0</v>
      </c>
      <c r="Q114" s="150">
        <f t="shared" si="64"/>
        <v>1.2681071499999998E-7</v>
      </c>
      <c r="R114" s="150">
        <f t="shared" si="64"/>
        <v>0.5</v>
      </c>
      <c r="S114" s="150" t="e">
        <f t="shared" si="64"/>
        <v>#N/A</v>
      </c>
      <c r="T114" s="150">
        <f t="shared" si="64"/>
        <v>5.4129961666666659E-9</v>
      </c>
      <c r="U114" s="150">
        <f t="shared" si="64"/>
        <v>1.2681071499999998E-7</v>
      </c>
      <c r="V114" s="150">
        <f t="shared" si="64"/>
        <v>0.875</v>
      </c>
      <c r="W114" s="150">
        <f t="shared" si="64"/>
        <v>1</v>
      </c>
      <c r="X114" s="150">
        <f t="shared" si="64"/>
        <v>0.875</v>
      </c>
      <c r="Y114" s="150" t="e">
        <f t="shared" si="64"/>
        <v>#N/A</v>
      </c>
      <c r="Z114" s="150">
        <f t="shared" si="64"/>
        <v>0</v>
      </c>
      <c r="AA114" s="150" t="e">
        <f t="shared" si="64"/>
        <v>#N/A</v>
      </c>
      <c r="AB114" s="150">
        <f t="shared" si="64"/>
        <v>5.0692404099999993E-9</v>
      </c>
      <c r="AC114" s="150">
        <f t="shared" si="64"/>
        <v>19.52</v>
      </c>
      <c r="AD114" s="150">
        <f t="shared" si="64"/>
        <v>0.18700000000000003</v>
      </c>
      <c r="AE114" s="150">
        <f t="shared" si="64"/>
        <v>1.9881795000000004E-10</v>
      </c>
      <c r="AF114" s="150">
        <f t="shared" si="64"/>
        <v>0.08</v>
      </c>
      <c r="AG114" s="150">
        <f t="shared" si="64"/>
        <v>2.6225022999999999E-10</v>
      </c>
      <c r="AH114" s="150" t="e">
        <f t="shared" si="64"/>
        <v>#N/A</v>
      </c>
      <c r="AI114" s="150">
        <f t="shared" si="64"/>
        <v>0</v>
      </c>
      <c r="AJ114" s="150">
        <f t="shared" si="64"/>
        <v>0</v>
      </c>
      <c r="AK114" s="150">
        <f t="shared" si="64"/>
        <v>-2.8848361666666667E-10</v>
      </c>
      <c r="AL114" s="150">
        <f t="shared" si="64"/>
        <v>-2.8848361666666667E-10</v>
      </c>
    </row>
    <row r="115" spans="1:38" x14ac:dyDescent="0.3">
      <c r="A115" s="216" t="s">
        <v>796</v>
      </c>
      <c r="B115" s="217" t="str">
        <f>DGcalcul!$E$19</f>
        <v>Mixed or Unknown collection</v>
      </c>
      <c r="C115" s="217" t="str">
        <f t="shared" si="58"/>
        <v>Unknown Mixed or Unknown collection</v>
      </c>
      <c r="D115" s="237" t="s">
        <v>422</v>
      </c>
      <c r="E115" s="238" t="s">
        <v>421</v>
      </c>
      <c r="F115" s="220">
        <f>DGcalcul!$E$8</f>
        <v>0</v>
      </c>
      <c r="G115" s="150">
        <f>'DGbase données'!T8</f>
        <v>1.7893053567999996E-8</v>
      </c>
      <c r="H115" s="250">
        <f t="shared" si="48"/>
        <v>1.7893053567999996E-8</v>
      </c>
      <c r="I115" s="220">
        <f>DGcalcul!$E$8</f>
        <v>0</v>
      </c>
      <c r="J115" s="2">
        <v>0.5</v>
      </c>
      <c r="K115" s="150">
        <f t="shared" ref="K115:AL115" si="65">AVERAGE(K13,K30,K47,K64,K81,K98)</f>
        <v>6.2617293999999999E-10</v>
      </c>
      <c r="L115" s="150">
        <f t="shared" si="65"/>
        <v>2.937615156666666E-9</v>
      </c>
      <c r="M115" s="150">
        <f t="shared" si="65"/>
        <v>0.875</v>
      </c>
      <c r="N115" s="150">
        <f t="shared" si="65"/>
        <v>1</v>
      </c>
      <c r="O115" s="150">
        <f t="shared" si="65"/>
        <v>0.875</v>
      </c>
      <c r="P115" s="150">
        <f t="shared" si="65"/>
        <v>0</v>
      </c>
      <c r="Q115" s="150">
        <f t="shared" si="65"/>
        <v>2.937615156666666E-9</v>
      </c>
      <c r="R115" s="150">
        <f t="shared" si="65"/>
        <v>0.5</v>
      </c>
      <c r="S115" s="150" t="e">
        <f t="shared" si="65"/>
        <v>#N/A</v>
      </c>
      <c r="T115" s="150">
        <f t="shared" si="65"/>
        <v>4.8901048333333337E-10</v>
      </c>
      <c r="U115" s="150">
        <f t="shared" si="65"/>
        <v>2.937615156666666E-9</v>
      </c>
      <c r="V115" s="150">
        <f t="shared" si="65"/>
        <v>0.875</v>
      </c>
      <c r="W115" s="150">
        <f t="shared" si="65"/>
        <v>1</v>
      </c>
      <c r="X115" s="150">
        <f t="shared" si="65"/>
        <v>0.875</v>
      </c>
      <c r="Y115" s="150" t="e">
        <f t="shared" si="65"/>
        <v>#N/A</v>
      </c>
      <c r="Z115" s="150">
        <f t="shared" si="65"/>
        <v>0</v>
      </c>
      <c r="AA115" s="150" t="e">
        <f t="shared" si="65"/>
        <v>#N/A</v>
      </c>
      <c r="AB115" s="150">
        <f t="shared" si="65"/>
        <v>2.5339941180453911E-3</v>
      </c>
      <c r="AC115" s="150">
        <f t="shared" si="65"/>
        <v>19.52</v>
      </c>
      <c r="AD115" s="150">
        <f t="shared" si="65"/>
        <v>0.18700000000000003</v>
      </c>
      <c r="AE115" s="150">
        <f t="shared" si="65"/>
        <v>1.5634214999999999E-11</v>
      </c>
      <c r="AF115" s="150">
        <f t="shared" si="65"/>
        <v>0.08</v>
      </c>
      <c r="AG115" s="150">
        <f t="shared" si="65"/>
        <v>1.3494007999999999E-11</v>
      </c>
      <c r="AH115" s="150" t="e">
        <f t="shared" si="65"/>
        <v>#N/A</v>
      </c>
      <c r="AI115" s="150">
        <f t="shared" si="65"/>
        <v>0</v>
      </c>
      <c r="AJ115" s="150">
        <f t="shared" si="65"/>
        <v>0</v>
      </c>
      <c r="AK115" s="150">
        <f t="shared" si="65"/>
        <v>-1.7589884200000002E-11</v>
      </c>
      <c r="AL115" s="150">
        <f t="shared" si="65"/>
        <v>-1.7589884200000002E-11</v>
      </c>
    </row>
    <row r="116" spans="1:38" x14ac:dyDescent="0.3">
      <c r="A116" s="216" t="s">
        <v>796</v>
      </c>
      <c r="B116" s="217" t="str">
        <f>DGcalcul!$E$19</f>
        <v>Mixed or Unknown collection</v>
      </c>
      <c r="C116" s="217" t="str">
        <f t="shared" si="58"/>
        <v>Unknown Mixed or Unknown collection</v>
      </c>
      <c r="D116" s="237" t="s">
        <v>330</v>
      </c>
      <c r="E116" s="238" t="s">
        <v>344</v>
      </c>
      <c r="F116" s="220">
        <f>DGcalcul!$E$8</f>
        <v>0</v>
      </c>
      <c r="G116" s="150">
        <f>'DGbase données'!T9</f>
        <v>1.7299253926666664E-2</v>
      </c>
      <c r="H116" s="250">
        <f t="shared" si="48"/>
        <v>1.7299253926666664E-2</v>
      </c>
      <c r="I116" s="220">
        <f>DGcalcul!$E$8</f>
        <v>0</v>
      </c>
      <c r="J116" s="2">
        <v>0.5</v>
      </c>
      <c r="K116" s="150">
        <f t="shared" ref="K116:AL116" si="66">AVERAGE(K14,K31,K48,K65,K82,K99)</f>
        <v>1.0063522883333334E-3</v>
      </c>
      <c r="L116" s="150">
        <f t="shared" si="66"/>
        <v>1.3204574449999999E-2</v>
      </c>
      <c r="M116" s="150">
        <f t="shared" si="66"/>
        <v>0.875</v>
      </c>
      <c r="N116" s="150">
        <f t="shared" si="66"/>
        <v>1</v>
      </c>
      <c r="O116" s="150">
        <f t="shared" si="66"/>
        <v>0.875</v>
      </c>
      <c r="P116" s="150">
        <f t="shared" si="66"/>
        <v>0</v>
      </c>
      <c r="Q116" s="150">
        <f t="shared" si="66"/>
        <v>1.3204574449999999E-2</v>
      </c>
      <c r="R116" s="150">
        <f t="shared" si="66"/>
        <v>0.5</v>
      </c>
      <c r="S116" s="150" t="e">
        <f t="shared" si="66"/>
        <v>#N/A</v>
      </c>
      <c r="T116" s="150">
        <f t="shared" si="66"/>
        <v>2.362123448333333E-3</v>
      </c>
      <c r="U116" s="150">
        <f t="shared" si="66"/>
        <v>1.3204574449999999E-2</v>
      </c>
      <c r="V116" s="150">
        <f t="shared" si="66"/>
        <v>0.875</v>
      </c>
      <c r="W116" s="150">
        <f t="shared" si="66"/>
        <v>1</v>
      </c>
      <c r="X116" s="150">
        <f t="shared" si="66"/>
        <v>0.875</v>
      </c>
      <c r="Y116" s="150" t="e">
        <f t="shared" si="66"/>
        <v>#N/A</v>
      </c>
      <c r="Z116" s="150">
        <f t="shared" si="66"/>
        <v>0</v>
      </c>
      <c r="AA116" s="150" t="e">
        <f t="shared" si="66"/>
        <v>#N/A</v>
      </c>
      <c r="AB116" s="150">
        <f t="shared" si="66"/>
        <v>1.0032692333058334E-2</v>
      </c>
      <c r="AC116" s="150">
        <f t="shared" si="66"/>
        <v>19.52</v>
      </c>
      <c r="AD116" s="150">
        <f t="shared" si="66"/>
        <v>0.18700000000000003</v>
      </c>
      <c r="AE116" s="150">
        <f t="shared" si="66"/>
        <v>8.942492E-5</v>
      </c>
      <c r="AF116" s="150">
        <f t="shared" si="66"/>
        <v>0.08</v>
      </c>
      <c r="AG116" s="150">
        <f t="shared" si="66"/>
        <v>1.0822637E-4</v>
      </c>
      <c r="AH116" s="150" t="e">
        <f t="shared" si="66"/>
        <v>#N/A</v>
      </c>
      <c r="AI116" s="150">
        <f t="shared" si="66"/>
        <v>0</v>
      </c>
      <c r="AJ116" s="150">
        <f t="shared" si="66"/>
        <v>0</v>
      </c>
      <c r="AK116" s="150">
        <f t="shared" si="66"/>
        <v>-3.0503694666666673E-4</v>
      </c>
      <c r="AL116" s="150">
        <f t="shared" si="66"/>
        <v>-3.0503694666666673E-4</v>
      </c>
    </row>
    <row r="117" spans="1:38" x14ac:dyDescent="0.3">
      <c r="A117" s="216" t="s">
        <v>796</v>
      </c>
      <c r="B117" s="217" t="str">
        <f>DGcalcul!$E$19</f>
        <v>Mixed or Unknown collection</v>
      </c>
      <c r="C117" s="217" t="str">
        <f t="shared" si="58"/>
        <v>Unknown Mixed or Unknown collection</v>
      </c>
      <c r="D117" s="237" t="s">
        <v>331</v>
      </c>
      <c r="E117" s="238" t="s">
        <v>345</v>
      </c>
      <c r="F117" s="220">
        <f>DGcalcul!$E$8</f>
        <v>0</v>
      </c>
      <c r="G117" s="150">
        <f>'DGbase données'!T10</f>
        <v>8.9230600806666663E-4</v>
      </c>
      <c r="H117" s="250">
        <f t="shared" si="48"/>
        <v>8.9230600806666663E-4</v>
      </c>
      <c r="I117" s="220">
        <f>DGcalcul!$E$8</f>
        <v>0</v>
      </c>
      <c r="J117" s="2">
        <v>0.5</v>
      </c>
      <c r="K117" s="150">
        <f t="shared" ref="K117:AL117" si="67">AVERAGE(K15,K32,K49,K66,K83,K100)</f>
        <v>1.5667817000000002E-4</v>
      </c>
      <c r="L117" s="150">
        <f t="shared" si="67"/>
        <v>5.0302718666666668E-4</v>
      </c>
      <c r="M117" s="150">
        <f t="shared" si="67"/>
        <v>0.875</v>
      </c>
      <c r="N117" s="150">
        <f t="shared" si="67"/>
        <v>1</v>
      </c>
      <c r="O117" s="150">
        <f t="shared" si="67"/>
        <v>0.875</v>
      </c>
      <c r="P117" s="150">
        <f t="shared" si="67"/>
        <v>0</v>
      </c>
      <c r="Q117" s="150">
        <f t="shared" si="67"/>
        <v>5.0302718666666668E-4</v>
      </c>
      <c r="R117" s="150">
        <f t="shared" si="67"/>
        <v>0.5</v>
      </c>
      <c r="S117" s="150" t="e">
        <f t="shared" si="67"/>
        <v>#N/A</v>
      </c>
      <c r="T117" s="150">
        <f t="shared" si="67"/>
        <v>1.5650092499999997E-4</v>
      </c>
      <c r="U117" s="150">
        <f t="shared" si="67"/>
        <v>5.0302718666666668E-4</v>
      </c>
      <c r="V117" s="150">
        <f t="shared" si="67"/>
        <v>0.875</v>
      </c>
      <c r="W117" s="150">
        <f t="shared" si="67"/>
        <v>1</v>
      </c>
      <c r="X117" s="150">
        <f t="shared" si="67"/>
        <v>0.875</v>
      </c>
      <c r="Y117" s="150" t="e">
        <f t="shared" si="67"/>
        <v>#N/A</v>
      </c>
      <c r="Z117" s="150">
        <f t="shared" si="67"/>
        <v>0</v>
      </c>
      <c r="AA117" s="150" t="e">
        <f t="shared" si="67"/>
        <v>#N/A</v>
      </c>
      <c r="AB117" s="150">
        <f t="shared" si="67"/>
        <v>2.5663611076866667E-4</v>
      </c>
      <c r="AC117" s="150">
        <f t="shared" si="67"/>
        <v>19.52</v>
      </c>
      <c r="AD117" s="150">
        <f t="shared" si="67"/>
        <v>0.18700000000000003</v>
      </c>
      <c r="AE117" s="150">
        <f t="shared" si="67"/>
        <v>2.5191956000000001E-6</v>
      </c>
      <c r="AF117" s="150">
        <f t="shared" si="67"/>
        <v>0.08</v>
      </c>
      <c r="AG117" s="150">
        <f t="shared" si="67"/>
        <v>5.4348756999999998E-6</v>
      </c>
      <c r="AH117" s="150" t="e">
        <f t="shared" si="67"/>
        <v>#N/A</v>
      </c>
      <c r="AI117" s="150">
        <f t="shared" si="67"/>
        <v>0</v>
      </c>
      <c r="AJ117" s="150">
        <f t="shared" si="67"/>
        <v>0</v>
      </c>
      <c r="AK117" s="150">
        <f t="shared" si="67"/>
        <v>-4.5794885833333331E-5</v>
      </c>
      <c r="AL117" s="150">
        <f t="shared" si="67"/>
        <v>-4.5794885833333331E-5</v>
      </c>
    </row>
    <row r="118" spans="1:38" x14ac:dyDescent="0.3">
      <c r="A118" s="216" t="s">
        <v>796</v>
      </c>
      <c r="B118" s="217" t="str">
        <f>DGcalcul!$E$19</f>
        <v>Mixed or Unknown collection</v>
      </c>
      <c r="C118" s="217" t="str">
        <f t="shared" si="58"/>
        <v>Unknown Mixed or Unknown collection</v>
      </c>
      <c r="D118" s="237" t="s">
        <v>423</v>
      </c>
      <c r="E118" s="238" t="s">
        <v>424</v>
      </c>
      <c r="F118" s="220">
        <f>DGcalcul!$E$8</f>
        <v>0</v>
      </c>
      <c r="G118" s="150">
        <f>'DGbase données'!T11</f>
        <v>3.6738324139999998E-3</v>
      </c>
      <c r="H118" s="250">
        <f t="shared" si="48"/>
        <v>3.6738324139999998E-3</v>
      </c>
      <c r="I118" s="220">
        <f>DGcalcul!$E$8</f>
        <v>0</v>
      </c>
      <c r="J118" s="2">
        <v>0.5</v>
      </c>
      <c r="K118" s="150">
        <f t="shared" ref="K118:AL118" si="68">AVERAGE(K16,K33,K50,K67,K84,K101)</f>
        <v>1.8833802000000003E-4</v>
      </c>
      <c r="L118" s="150">
        <f t="shared" si="68"/>
        <v>2.3379382333333335E-3</v>
      </c>
      <c r="M118" s="150">
        <f t="shared" si="68"/>
        <v>0.875</v>
      </c>
      <c r="N118" s="150">
        <f t="shared" si="68"/>
        <v>1</v>
      </c>
      <c r="O118" s="150">
        <f t="shared" si="68"/>
        <v>0.875</v>
      </c>
      <c r="P118" s="150">
        <f t="shared" si="68"/>
        <v>0</v>
      </c>
      <c r="Q118" s="150">
        <f t="shared" si="68"/>
        <v>2.3379382333333335E-3</v>
      </c>
      <c r="R118" s="150">
        <f t="shared" si="68"/>
        <v>0.5</v>
      </c>
      <c r="S118" s="150" t="e">
        <f t="shared" si="68"/>
        <v>#N/A</v>
      </c>
      <c r="T118" s="150">
        <f t="shared" si="68"/>
        <v>5.9590330000000005E-4</v>
      </c>
      <c r="U118" s="150">
        <f t="shared" si="68"/>
        <v>2.3379382333333335E-3</v>
      </c>
      <c r="V118" s="150">
        <f t="shared" si="68"/>
        <v>0.875</v>
      </c>
      <c r="W118" s="150">
        <f t="shared" si="68"/>
        <v>1</v>
      </c>
      <c r="X118" s="150">
        <f t="shared" si="68"/>
        <v>0.875</v>
      </c>
      <c r="Y118" s="150" t="e">
        <f t="shared" si="68"/>
        <v>#N/A</v>
      </c>
      <c r="Z118" s="150">
        <f t="shared" si="68"/>
        <v>0</v>
      </c>
      <c r="AA118" s="150" t="e">
        <f t="shared" si="68"/>
        <v>#N/A</v>
      </c>
      <c r="AB118" s="150">
        <f t="shared" si="68"/>
        <v>3.6355994083333335E-3</v>
      </c>
      <c r="AC118" s="150">
        <f t="shared" si="68"/>
        <v>19.52</v>
      </c>
      <c r="AD118" s="150">
        <f t="shared" si="68"/>
        <v>0.18700000000000003</v>
      </c>
      <c r="AE118" s="150">
        <f t="shared" si="68"/>
        <v>1.6508956E-5</v>
      </c>
      <c r="AF118" s="150">
        <f t="shared" si="68"/>
        <v>0.08</v>
      </c>
      <c r="AG118" s="150">
        <f t="shared" si="68"/>
        <v>2.8546767000000002E-5</v>
      </c>
      <c r="AH118" s="150" t="e">
        <f t="shared" si="68"/>
        <v>#N/A</v>
      </c>
      <c r="AI118" s="150">
        <f t="shared" si="68"/>
        <v>0</v>
      </c>
      <c r="AJ118" s="150">
        <f t="shared" si="68"/>
        <v>0</v>
      </c>
      <c r="AK118" s="150">
        <f t="shared" si="68"/>
        <v>-1.3842762333333332E-4</v>
      </c>
      <c r="AL118" s="150">
        <f t="shared" si="68"/>
        <v>-1.3842762333333332E-4</v>
      </c>
    </row>
    <row r="119" spans="1:38" x14ac:dyDescent="0.3">
      <c r="A119" s="216" t="s">
        <v>796</v>
      </c>
      <c r="B119" s="217" t="str">
        <f>DGcalcul!$E$19</f>
        <v>Mixed or Unknown collection</v>
      </c>
      <c r="C119" s="217" t="str">
        <f t="shared" si="58"/>
        <v>Unknown Mixed or Unknown collection</v>
      </c>
      <c r="D119" s="237" t="s">
        <v>425</v>
      </c>
      <c r="E119" s="238" t="s">
        <v>426</v>
      </c>
      <c r="F119" s="220">
        <f>DGcalcul!$E$8</f>
        <v>0</v>
      </c>
      <c r="G119" s="150">
        <f>'DGbase données'!T12</f>
        <v>3.5403040260000004E-2</v>
      </c>
      <c r="H119" s="250">
        <f t="shared" si="48"/>
        <v>3.5403040260000004E-2</v>
      </c>
      <c r="I119" s="220">
        <f>DGcalcul!$E$8</f>
        <v>0</v>
      </c>
      <c r="J119" s="2">
        <v>0.5</v>
      </c>
      <c r="K119" s="150">
        <f t="shared" ref="K119:AL119" si="69">AVERAGE(K17,K34,K51,K68,K85,K102)</f>
        <v>1.7072978333333335E-3</v>
      </c>
      <c r="L119" s="150">
        <f t="shared" si="69"/>
        <v>2.4307667333333335E-2</v>
      </c>
      <c r="M119" s="150">
        <f t="shared" si="69"/>
        <v>0.875</v>
      </c>
      <c r="N119" s="150">
        <f t="shared" si="69"/>
        <v>1</v>
      </c>
      <c r="O119" s="150">
        <f t="shared" si="69"/>
        <v>0.875</v>
      </c>
      <c r="P119" s="150">
        <f t="shared" si="69"/>
        <v>0</v>
      </c>
      <c r="Q119" s="150">
        <f t="shared" si="69"/>
        <v>2.4307667333333335E-2</v>
      </c>
      <c r="R119" s="150">
        <f t="shared" si="69"/>
        <v>0.5</v>
      </c>
      <c r="S119" s="150" t="e">
        <f t="shared" si="69"/>
        <v>#N/A</v>
      </c>
      <c r="T119" s="150">
        <f t="shared" si="69"/>
        <v>4.5526303666666669E-3</v>
      </c>
      <c r="U119" s="150">
        <f t="shared" si="69"/>
        <v>2.4307667333333335E-2</v>
      </c>
      <c r="V119" s="150">
        <f t="shared" si="69"/>
        <v>0.875</v>
      </c>
      <c r="W119" s="150">
        <f t="shared" si="69"/>
        <v>1</v>
      </c>
      <c r="X119" s="150">
        <f t="shared" si="69"/>
        <v>0.875</v>
      </c>
      <c r="Y119" s="150" t="e">
        <f t="shared" si="69"/>
        <v>#N/A</v>
      </c>
      <c r="Z119" s="150">
        <f t="shared" si="69"/>
        <v>0</v>
      </c>
      <c r="AA119" s="150" t="e">
        <f t="shared" si="69"/>
        <v>#N/A</v>
      </c>
      <c r="AB119" s="150">
        <f t="shared" si="69"/>
        <v>0.79633703553333313</v>
      </c>
      <c r="AC119" s="150">
        <f t="shared" si="69"/>
        <v>19.52</v>
      </c>
      <c r="AD119" s="150">
        <f t="shared" si="69"/>
        <v>0.18700000000000003</v>
      </c>
      <c r="AE119" s="150">
        <f t="shared" si="69"/>
        <v>1.7353508999999999E-4</v>
      </c>
      <c r="AF119" s="150">
        <f t="shared" si="69"/>
        <v>0.08</v>
      </c>
      <c r="AG119" s="150">
        <f t="shared" si="69"/>
        <v>2.1237668000000003E-4</v>
      </c>
      <c r="AH119" s="150" t="e">
        <f t="shared" si="69"/>
        <v>#N/A</v>
      </c>
      <c r="AI119" s="150">
        <f t="shared" si="69"/>
        <v>0</v>
      </c>
      <c r="AJ119" s="150">
        <f t="shared" si="69"/>
        <v>0</v>
      </c>
      <c r="AK119" s="150">
        <f t="shared" si="69"/>
        <v>-7.6275792499999997E-4</v>
      </c>
      <c r="AL119" s="150">
        <f t="shared" si="69"/>
        <v>-7.6275792499999997E-4</v>
      </c>
    </row>
    <row r="120" spans="1:38" x14ac:dyDescent="0.3">
      <c r="A120" s="216" t="s">
        <v>796</v>
      </c>
      <c r="B120" s="217" t="str">
        <f>DGcalcul!$E$19</f>
        <v>Mixed or Unknown collection</v>
      </c>
      <c r="C120" s="217" t="str">
        <f t="shared" si="58"/>
        <v>Unknown Mixed or Unknown collection</v>
      </c>
      <c r="D120" s="237" t="s">
        <v>427</v>
      </c>
      <c r="E120" s="238" t="s">
        <v>428</v>
      </c>
      <c r="F120" s="220">
        <f>DGcalcul!$E$8</f>
        <v>0</v>
      </c>
      <c r="G120" s="150">
        <f>'DGbase données'!T13</f>
        <v>38.872944911753343</v>
      </c>
      <c r="H120" s="250">
        <f t="shared" si="48"/>
        <v>38.872944911753343</v>
      </c>
      <c r="I120" s="220">
        <f>DGcalcul!$E$8</f>
        <v>0</v>
      </c>
      <c r="J120" s="2">
        <v>0.5</v>
      </c>
      <c r="K120" s="150">
        <f t="shared" ref="K120:AL120" si="70">AVERAGE(K18,K35,K52,K69,K86,K103)</f>
        <v>0.27187345950833336</v>
      </c>
      <c r="L120" s="150">
        <f t="shared" si="70"/>
        <v>52.747519029383341</v>
      </c>
      <c r="M120" s="150">
        <f t="shared" si="70"/>
        <v>0.875</v>
      </c>
      <c r="N120" s="150">
        <f t="shared" si="70"/>
        <v>1</v>
      </c>
      <c r="O120" s="150">
        <f t="shared" si="70"/>
        <v>0.875</v>
      </c>
      <c r="P120" s="150">
        <f t="shared" si="70"/>
        <v>0</v>
      </c>
      <c r="Q120" s="150">
        <f t="shared" si="70"/>
        <v>52.747519029383341</v>
      </c>
      <c r="R120" s="150">
        <f t="shared" si="70"/>
        <v>0.5</v>
      </c>
      <c r="S120" s="150" t="e">
        <f t="shared" si="70"/>
        <v>#N/A</v>
      </c>
      <c r="T120" s="150">
        <f t="shared" si="70"/>
        <v>12.942513483534997</v>
      </c>
      <c r="U120" s="150">
        <f t="shared" si="70"/>
        <v>52.747519029383341</v>
      </c>
      <c r="V120" s="150">
        <f t="shared" si="70"/>
        <v>0.875</v>
      </c>
      <c r="W120" s="150">
        <f t="shared" si="70"/>
        <v>1</v>
      </c>
      <c r="X120" s="150">
        <f t="shared" si="70"/>
        <v>0.875</v>
      </c>
      <c r="Y120" s="150" t="e">
        <f t="shared" si="70"/>
        <v>#N/A</v>
      </c>
      <c r="Z120" s="150">
        <f t="shared" si="70"/>
        <v>0</v>
      </c>
      <c r="AA120" s="150" t="e">
        <f t="shared" si="70"/>
        <v>#N/A</v>
      </c>
      <c r="AB120" s="150">
        <f t="shared" si="70"/>
        <v>3.1270154783333335</v>
      </c>
      <c r="AC120" s="150">
        <f t="shared" si="70"/>
        <v>19.52</v>
      </c>
      <c r="AD120" s="150">
        <f t="shared" si="70"/>
        <v>0.18700000000000003</v>
      </c>
      <c r="AE120" s="150">
        <f t="shared" si="70"/>
        <v>0.42162807000000008</v>
      </c>
      <c r="AF120" s="150">
        <f t="shared" si="70"/>
        <v>0.08</v>
      </c>
      <c r="AG120" s="150">
        <f t="shared" si="70"/>
        <v>0.69846766999999998</v>
      </c>
      <c r="AH120" s="150" t="e">
        <f t="shared" si="70"/>
        <v>#N/A</v>
      </c>
      <c r="AI120" s="150">
        <f t="shared" si="70"/>
        <v>0</v>
      </c>
      <c r="AJ120" s="150">
        <f t="shared" si="70"/>
        <v>0</v>
      </c>
      <c r="AK120" s="150">
        <f t="shared" si="70"/>
        <v>-1.1036861833333333</v>
      </c>
      <c r="AL120" s="150">
        <f t="shared" si="70"/>
        <v>-1.1036861833333333</v>
      </c>
    </row>
    <row r="121" spans="1:38" x14ac:dyDescent="0.3">
      <c r="A121" s="216" t="s">
        <v>796</v>
      </c>
      <c r="B121" s="217" t="str">
        <f>DGcalcul!$E$19</f>
        <v>Mixed or Unknown collection</v>
      </c>
      <c r="C121" s="217" t="str">
        <f t="shared" si="58"/>
        <v>Unknown Mixed or Unknown collection</v>
      </c>
      <c r="D121" s="237" t="s">
        <v>429</v>
      </c>
      <c r="E121" s="238" t="s">
        <v>430</v>
      </c>
      <c r="F121" s="220">
        <f>DGcalcul!$E$8</f>
        <v>0</v>
      </c>
      <c r="G121" s="150">
        <f>'DGbase données'!T14</f>
        <v>33.832183326666673</v>
      </c>
      <c r="H121" s="250">
        <f t="shared" si="48"/>
        <v>33.832183326666673</v>
      </c>
      <c r="I121" s="220">
        <f>DGcalcul!$E$8</f>
        <v>0</v>
      </c>
      <c r="J121" s="2">
        <v>0.5</v>
      </c>
      <c r="K121" s="150">
        <f t="shared" ref="K121:AL121" si="71">AVERAGE(K19,K36,K53,K70,K87,K104)</f>
        <v>0.73833866333333342</v>
      </c>
      <c r="L121" s="150">
        <f t="shared" si="71"/>
        <v>5.0609843166666666</v>
      </c>
      <c r="M121" s="150">
        <f t="shared" si="71"/>
        <v>0.875</v>
      </c>
      <c r="N121" s="150">
        <f t="shared" si="71"/>
        <v>1</v>
      </c>
      <c r="O121" s="150">
        <f t="shared" si="71"/>
        <v>0.875</v>
      </c>
      <c r="P121" s="150">
        <f t="shared" si="71"/>
        <v>0</v>
      </c>
      <c r="Q121" s="150">
        <f t="shared" si="71"/>
        <v>5.0609843166666666</v>
      </c>
      <c r="R121" s="150">
        <f t="shared" si="71"/>
        <v>0.5</v>
      </c>
      <c r="S121" s="150" t="e">
        <f t="shared" si="71"/>
        <v>#N/A</v>
      </c>
      <c r="T121" s="150">
        <f t="shared" si="71"/>
        <v>2.2933222400000002</v>
      </c>
      <c r="U121" s="150">
        <f t="shared" si="71"/>
        <v>5.0609843166666666</v>
      </c>
      <c r="V121" s="150">
        <f t="shared" si="71"/>
        <v>0.875</v>
      </c>
      <c r="W121" s="150">
        <f t="shared" si="71"/>
        <v>1</v>
      </c>
      <c r="X121" s="150">
        <f t="shared" si="71"/>
        <v>0.875</v>
      </c>
      <c r="Y121" s="150" t="e">
        <f t="shared" si="71"/>
        <v>#N/A</v>
      </c>
      <c r="Z121" s="150">
        <f t="shared" si="71"/>
        <v>0</v>
      </c>
      <c r="AA121" s="150" t="e">
        <f t="shared" si="71"/>
        <v>#N/A</v>
      </c>
      <c r="AB121" s="150">
        <f t="shared" si="71"/>
        <v>-2.6618778333333332E-2</v>
      </c>
      <c r="AC121" s="150">
        <f t="shared" si="71"/>
        <v>19.52</v>
      </c>
      <c r="AD121" s="150">
        <f t="shared" si="71"/>
        <v>0.18700000000000003</v>
      </c>
      <c r="AE121" s="150">
        <f t="shared" si="71"/>
        <v>4.2297600999999997E-2</v>
      </c>
      <c r="AF121" s="150">
        <f t="shared" si="71"/>
        <v>0.08</v>
      </c>
      <c r="AG121" s="150">
        <f t="shared" si="71"/>
        <v>0.11007992</v>
      </c>
      <c r="AH121" s="150" t="e">
        <f t="shared" si="71"/>
        <v>#N/A</v>
      </c>
      <c r="AI121" s="150">
        <f t="shared" si="71"/>
        <v>0</v>
      </c>
      <c r="AJ121" s="150">
        <f t="shared" si="71"/>
        <v>0</v>
      </c>
      <c r="AK121" s="150">
        <f t="shared" si="71"/>
        <v>0</v>
      </c>
      <c r="AL121" s="150">
        <f t="shared" si="71"/>
        <v>0</v>
      </c>
    </row>
    <row r="122" spans="1:38" x14ac:dyDescent="0.3">
      <c r="A122" s="216" t="s">
        <v>796</v>
      </c>
      <c r="B122" s="217" t="str">
        <f>DGcalcul!$E$19</f>
        <v>Mixed or Unknown collection</v>
      </c>
      <c r="C122" s="217" t="str">
        <f t="shared" si="58"/>
        <v>Unknown Mixed or Unknown collection</v>
      </c>
      <c r="D122" s="237" t="s">
        <v>332</v>
      </c>
      <c r="E122" s="238" t="s">
        <v>431</v>
      </c>
      <c r="F122" s="220">
        <f>DGcalcul!$E$8</f>
        <v>0</v>
      </c>
      <c r="G122" s="150">
        <f>'DGbase données'!T15</f>
        <v>1.7950485029333334</v>
      </c>
      <c r="H122" s="250">
        <f t="shared" si="48"/>
        <v>1.7950485029333334</v>
      </c>
      <c r="I122" s="220">
        <f>DGcalcul!$E$8</f>
        <v>0</v>
      </c>
      <c r="J122" s="2">
        <v>0.5</v>
      </c>
      <c r="K122" s="150">
        <f t="shared" ref="K122:AL122" si="72">AVERAGE(K20,K37,K54,K71,K88,K105)</f>
        <v>8.6331835333333343E-2</v>
      </c>
      <c r="L122" s="150">
        <f t="shared" si="72"/>
        <v>1.7365778816666666</v>
      </c>
      <c r="M122" s="150">
        <f t="shared" si="72"/>
        <v>0.875</v>
      </c>
      <c r="N122" s="150">
        <f t="shared" si="72"/>
        <v>1</v>
      </c>
      <c r="O122" s="150">
        <f t="shared" si="72"/>
        <v>0.875</v>
      </c>
      <c r="P122" s="150">
        <f t="shared" si="72"/>
        <v>0</v>
      </c>
      <c r="Q122" s="150">
        <f t="shared" si="72"/>
        <v>1.7365778816666666</v>
      </c>
      <c r="R122" s="150">
        <f t="shared" si="72"/>
        <v>0.5</v>
      </c>
      <c r="S122" s="150" t="e">
        <f t="shared" si="72"/>
        <v>#N/A</v>
      </c>
      <c r="T122" s="150">
        <f t="shared" si="72"/>
        <v>0.17045892066666665</v>
      </c>
      <c r="U122" s="150">
        <f t="shared" si="72"/>
        <v>1.7365778816666666</v>
      </c>
      <c r="V122" s="150">
        <f t="shared" si="72"/>
        <v>0.875</v>
      </c>
      <c r="W122" s="150">
        <f t="shared" si="72"/>
        <v>1</v>
      </c>
      <c r="X122" s="150">
        <f t="shared" si="72"/>
        <v>0.875</v>
      </c>
      <c r="Y122" s="150" t="e">
        <f t="shared" si="72"/>
        <v>#N/A</v>
      </c>
      <c r="Z122" s="150">
        <f t="shared" si="72"/>
        <v>0</v>
      </c>
      <c r="AA122" s="150" t="e">
        <f t="shared" si="72"/>
        <v>#N/A</v>
      </c>
      <c r="AB122" s="150">
        <f t="shared" si="72"/>
        <v>5.2767128149999998</v>
      </c>
      <c r="AC122" s="150">
        <f t="shared" si="72"/>
        <v>19.52</v>
      </c>
      <c r="AD122" s="150">
        <f t="shared" si="72"/>
        <v>0.18700000000000003</v>
      </c>
      <c r="AE122" s="150">
        <f t="shared" si="72"/>
        <v>9.3119741999999998E-4</v>
      </c>
      <c r="AF122" s="150">
        <f t="shared" si="72"/>
        <v>0.08</v>
      </c>
      <c r="AG122" s="150">
        <f t="shared" si="72"/>
        <v>7.6093279999999994E-3</v>
      </c>
      <c r="AH122" s="150" t="e">
        <f t="shared" si="72"/>
        <v>#N/A</v>
      </c>
      <c r="AI122" s="150">
        <f t="shared" si="72"/>
        <v>0</v>
      </c>
      <c r="AJ122" s="150">
        <f t="shared" si="72"/>
        <v>0</v>
      </c>
      <c r="AK122" s="150">
        <f t="shared" si="72"/>
        <v>-5.16918755E-3</v>
      </c>
      <c r="AL122" s="150">
        <f t="shared" si="72"/>
        <v>-5.16918755E-3</v>
      </c>
    </row>
    <row r="123" spans="1:38" x14ac:dyDescent="0.3">
      <c r="A123" s="216" t="s">
        <v>796</v>
      </c>
      <c r="B123" s="217" t="str">
        <f>DGcalcul!$E$19</f>
        <v>Mixed or Unknown collection</v>
      </c>
      <c r="C123" s="217" t="str">
        <f t="shared" si="58"/>
        <v>Unknown Mixed or Unknown collection</v>
      </c>
      <c r="D123" s="237" t="s">
        <v>432</v>
      </c>
      <c r="E123" s="238" t="s">
        <v>347</v>
      </c>
      <c r="F123" s="220">
        <f>DGcalcul!$E$8</f>
        <v>0</v>
      </c>
      <c r="G123" s="150">
        <f>'DGbase données'!T16</f>
        <v>52.731427219999993</v>
      </c>
      <c r="H123" s="250">
        <f t="shared" si="48"/>
        <v>52.731427219999993</v>
      </c>
      <c r="I123" s="220">
        <f>DGcalcul!$E$8</f>
        <v>0</v>
      </c>
      <c r="J123" s="2">
        <v>0.5</v>
      </c>
      <c r="K123" s="150">
        <f t="shared" ref="K123:AL123" si="73">AVERAGE(K21,K38,K55,K72,K89,K106)</f>
        <v>2.9910949333333332</v>
      </c>
      <c r="L123" s="150">
        <f t="shared" si="73"/>
        <v>72.336062666666663</v>
      </c>
      <c r="M123" s="150">
        <f t="shared" si="73"/>
        <v>0.875</v>
      </c>
      <c r="N123" s="150">
        <f t="shared" si="73"/>
        <v>1</v>
      </c>
      <c r="O123" s="150">
        <f t="shared" si="73"/>
        <v>0.875</v>
      </c>
      <c r="P123" s="150">
        <f t="shared" si="73"/>
        <v>0</v>
      </c>
      <c r="Q123" s="150">
        <f t="shared" si="73"/>
        <v>72.336062666666663</v>
      </c>
      <c r="R123" s="150">
        <f t="shared" si="73"/>
        <v>0.5</v>
      </c>
      <c r="S123" s="150" t="e">
        <f t="shared" si="73"/>
        <v>#N/A</v>
      </c>
      <c r="T123" s="150">
        <f t="shared" si="73"/>
        <v>60.063442400000007</v>
      </c>
      <c r="U123" s="150">
        <f t="shared" si="73"/>
        <v>72.336062666666663</v>
      </c>
      <c r="V123" s="150">
        <f t="shared" si="73"/>
        <v>0.875</v>
      </c>
      <c r="W123" s="150">
        <f t="shared" si="73"/>
        <v>1</v>
      </c>
      <c r="X123" s="150">
        <f t="shared" si="73"/>
        <v>0.875</v>
      </c>
      <c r="Y123" s="150" t="e">
        <f t="shared" si="73"/>
        <v>#N/A</v>
      </c>
      <c r="Z123" s="150">
        <f t="shared" si="73"/>
        <v>0</v>
      </c>
      <c r="AA123" s="150" t="e">
        <f t="shared" si="73"/>
        <v>#N/A</v>
      </c>
      <c r="AB123" s="150">
        <f t="shared" si="73"/>
        <v>21.52013130906268</v>
      </c>
      <c r="AC123" s="150">
        <f t="shared" si="73"/>
        <v>19.52</v>
      </c>
      <c r="AD123" s="150">
        <f t="shared" si="73"/>
        <v>0.18700000000000003</v>
      </c>
      <c r="AE123" s="150">
        <f t="shared" si="73"/>
        <v>1.1585102999999999</v>
      </c>
      <c r="AF123" s="150">
        <f t="shared" si="73"/>
        <v>0.08</v>
      </c>
      <c r="AG123" s="150">
        <f t="shared" si="73"/>
        <v>3.2057147000000001</v>
      </c>
      <c r="AH123" s="150" t="e">
        <f t="shared" si="73"/>
        <v>#N/A</v>
      </c>
      <c r="AI123" s="150">
        <f t="shared" si="73"/>
        <v>0</v>
      </c>
      <c r="AJ123" s="150">
        <f t="shared" si="73"/>
        <v>0</v>
      </c>
      <c r="AK123" s="150">
        <f t="shared" si="73"/>
        <v>-1.1173518166666667</v>
      </c>
      <c r="AL123" s="150">
        <f t="shared" si="73"/>
        <v>-1.1173518166666667</v>
      </c>
    </row>
    <row r="124" spans="1:38" x14ac:dyDescent="0.3">
      <c r="A124" s="216" t="s">
        <v>796</v>
      </c>
      <c r="B124" s="217" t="str">
        <f>DGcalcul!$E$19</f>
        <v>Mixed or Unknown collection</v>
      </c>
      <c r="C124" s="217" t="str">
        <f t="shared" si="58"/>
        <v>Unknown Mixed or Unknown collection</v>
      </c>
      <c r="D124" s="248" t="s">
        <v>334</v>
      </c>
      <c r="E124" s="249" t="s">
        <v>348</v>
      </c>
      <c r="F124" s="220">
        <f>DGcalcul!$E$8</f>
        <v>0</v>
      </c>
      <c r="G124" s="150">
        <f>'DGbase données'!T17</f>
        <v>4.9758603433333338E-5</v>
      </c>
      <c r="H124" s="250">
        <f t="shared" si="48"/>
        <v>4.9758603433333338E-5</v>
      </c>
      <c r="I124" s="220">
        <f>DGcalcul!$E$8</f>
        <v>0</v>
      </c>
      <c r="J124" s="2">
        <v>0.5</v>
      </c>
      <c r="K124" s="150">
        <f t="shared" ref="K124:AL124" si="74">AVERAGE(K22,K39,K56,K73,K90,K107)</f>
        <v>4.7410258166666663E-7</v>
      </c>
      <c r="L124" s="150">
        <f t="shared" si="74"/>
        <v>1.7707691666666665E-5</v>
      </c>
      <c r="M124" s="150">
        <f t="shared" si="74"/>
        <v>0.875</v>
      </c>
      <c r="N124" s="150">
        <f t="shared" si="74"/>
        <v>1</v>
      </c>
      <c r="O124" s="150">
        <f t="shared" si="74"/>
        <v>0.875</v>
      </c>
      <c r="P124" s="150">
        <f t="shared" si="74"/>
        <v>0</v>
      </c>
      <c r="Q124" s="150">
        <f t="shared" si="74"/>
        <v>1.7707691666666665E-5</v>
      </c>
      <c r="R124" s="150">
        <f t="shared" si="74"/>
        <v>0.5</v>
      </c>
      <c r="S124" s="150" t="e">
        <f t="shared" si="74"/>
        <v>#N/A</v>
      </c>
      <c r="T124" s="150">
        <f t="shared" si="74"/>
        <v>4.2296400033333334E-6</v>
      </c>
      <c r="U124" s="150">
        <f t="shared" si="74"/>
        <v>1.7707691666666665E-5</v>
      </c>
      <c r="V124" s="150">
        <f t="shared" si="74"/>
        <v>0.875</v>
      </c>
      <c r="W124" s="150">
        <f t="shared" si="74"/>
        <v>1</v>
      </c>
      <c r="X124" s="150">
        <f t="shared" si="74"/>
        <v>0.875</v>
      </c>
      <c r="Y124" s="150" t="e">
        <f t="shared" si="74"/>
        <v>#N/A</v>
      </c>
      <c r="Z124" s="150">
        <f t="shared" si="74"/>
        <v>0</v>
      </c>
      <c r="AA124" s="150" t="e">
        <f t="shared" si="74"/>
        <v>#N/A</v>
      </c>
      <c r="AB124" s="150">
        <f t="shared" si="74"/>
        <v>6.7948768333333326E-8</v>
      </c>
      <c r="AC124" s="150">
        <f t="shared" si="74"/>
        <v>19.52</v>
      </c>
      <c r="AD124" s="150">
        <f t="shared" si="74"/>
        <v>0.18700000000000003</v>
      </c>
      <c r="AE124" s="150">
        <f t="shared" si="74"/>
        <v>9.4112040000000015E-8</v>
      </c>
      <c r="AF124" s="150">
        <f t="shared" si="74"/>
        <v>0.08</v>
      </c>
      <c r="AG124" s="150">
        <f t="shared" si="74"/>
        <v>2.2040323999999996E-7</v>
      </c>
      <c r="AH124" s="150" t="e">
        <f t="shared" si="74"/>
        <v>#N/A</v>
      </c>
      <c r="AI124" s="150">
        <f t="shared" si="74"/>
        <v>0</v>
      </c>
      <c r="AJ124" s="150">
        <f t="shared" si="74"/>
        <v>0</v>
      </c>
      <c r="AK124" s="150">
        <f t="shared" si="74"/>
        <v>-5.4718016333333336E-9</v>
      </c>
      <c r="AL124" s="150">
        <f t="shared" si="74"/>
        <v>-5.4718016333333336E-9</v>
      </c>
    </row>
  </sheetData>
  <mergeCells count="17">
    <mergeCell ref="Y3:Y4"/>
    <mergeCell ref="AH3:AH4"/>
    <mergeCell ref="AL3:AL4"/>
    <mergeCell ref="F1:Y1"/>
    <mergeCell ref="Z1:AH1"/>
    <mergeCell ref="AI1:AL1"/>
    <mergeCell ref="F2:H2"/>
    <mergeCell ref="I2:P2"/>
    <mergeCell ref="R2:Y2"/>
    <mergeCell ref="Z2:AH2"/>
    <mergeCell ref="AI2:AL2"/>
    <mergeCell ref="B5:C5"/>
    <mergeCell ref="M5:O5"/>
    <mergeCell ref="V5:X5"/>
    <mergeCell ref="H3:H4"/>
    <mergeCell ref="P3:P4"/>
    <mergeCell ref="Q3:Q4"/>
  </mergeCells>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23DA8-101C-4DFF-B4D1-BDE6852ABBD0}">
  <sheetPr>
    <tabColor theme="9"/>
  </sheetPr>
  <dimension ref="A1:AS113"/>
  <sheetViews>
    <sheetView topLeftCell="A73" zoomScaleNormal="100" workbookViewId="0">
      <pane xSplit="2" topLeftCell="G1" activePane="topRight" state="frozen"/>
      <selection activeCell="E83" sqref="E83"/>
      <selection pane="topRight" activeCell="E83" sqref="E83"/>
    </sheetView>
  </sheetViews>
  <sheetFormatPr defaultColWidth="11.44140625" defaultRowHeight="14.4" x14ac:dyDescent="0.3"/>
  <cols>
    <col min="1" max="1" width="26.6640625" style="297" customWidth="1"/>
    <col min="2" max="2" width="21.33203125" style="297" bestFit="1" customWidth="1"/>
    <col min="3" max="3" width="10.6640625" style="297" customWidth="1"/>
    <col min="4" max="19" width="10.6640625" style="16" customWidth="1"/>
    <col min="20" max="35" width="10.6640625" customWidth="1"/>
  </cols>
  <sheetData>
    <row r="1" spans="1:32" ht="21" customHeight="1" x14ac:dyDescent="0.3">
      <c r="A1" s="547" t="s">
        <v>530</v>
      </c>
      <c r="B1" s="548"/>
      <c r="C1" s="271" t="s">
        <v>403</v>
      </c>
      <c r="D1" s="272" t="s">
        <v>403</v>
      </c>
      <c r="E1" s="273" t="s">
        <v>403</v>
      </c>
      <c r="F1" s="274" t="s">
        <v>403</v>
      </c>
      <c r="G1" s="274" t="s">
        <v>403</v>
      </c>
      <c r="H1" s="271" t="s">
        <v>196</v>
      </c>
      <c r="I1" s="272" t="s">
        <v>196</v>
      </c>
      <c r="J1" s="273" t="s">
        <v>196</v>
      </c>
      <c r="K1" s="274" t="s">
        <v>196</v>
      </c>
      <c r="L1" s="274" t="s">
        <v>196</v>
      </c>
      <c r="M1" s="271" t="s">
        <v>531</v>
      </c>
      <c r="N1" s="272" t="s">
        <v>531</v>
      </c>
      <c r="O1" s="273" t="s">
        <v>531</v>
      </c>
      <c r="P1" s="274" t="s">
        <v>531</v>
      </c>
      <c r="Q1" s="274" t="s">
        <v>531</v>
      </c>
      <c r="R1" s="271" t="s">
        <v>532</v>
      </c>
      <c r="S1" s="272" t="s">
        <v>532</v>
      </c>
      <c r="T1" s="273" t="s">
        <v>532</v>
      </c>
      <c r="U1" s="274" t="s">
        <v>532</v>
      </c>
      <c r="V1" s="274" t="s">
        <v>532</v>
      </c>
      <c r="W1" s="271" t="s">
        <v>302</v>
      </c>
      <c r="X1" s="272" t="s">
        <v>302</v>
      </c>
      <c r="Y1" s="273" t="s">
        <v>302</v>
      </c>
      <c r="Z1" s="274" t="s">
        <v>302</v>
      </c>
      <c r="AA1" s="274" t="s">
        <v>302</v>
      </c>
      <c r="AB1" s="271" t="s">
        <v>303</v>
      </c>
      <c r="AC1" s="272" t="s">
        <v>303</v>
      </c>
      <c r="AD1" s="273" t="s">
        <v>303</v>
      </c>
      <c r="AE1" s="274" t="s">
        <v>303</v>
      </c>
      <c r="AF1" s="274" t="s">
        <v>303</v>
      </c>
    </row>
    <row r="2" spans="1:32" ht="23.55" customHeight="1" x14ac:dyDescent="0.3">
      <c r="A2" s="547"/>
      <c r="B2" s="548"/>
      <c r="C2" s="275" t="s">
        <v>533</v>
      </c>
      <c r="D2" s="276" t="s">
        <v>534</v>
      </c>
      <c r="E2" s="277" t="s">
        <v>535</v>
      </c>
      <c r="F2" s="278" t="s">
        <v>536</v>
      </c>
      <c r="G2" s="278" t="s">
        <v>537</v>
      </c>
      <c r="H2" s="275" t="s">
        <v>533</v>
      </c>
      <c r="I2" s="276" t="s">
        <v>534</v>
      </c>
      <c r="J2" s="277" t="s">
        <v>535</v>
      </c>
      <c r="K2" s="278" t="s">
        <v>536</v>
      </c>
      <c r="L2" s="278" t="s">
        <v>537</v>
      </c>
      <c r="M2" s="275" t="s">
        <v>533</v>
      </c>
      <c r="N2" s="276" t="s">
        <v>534</v>
      </c>
      <c r="O2" s="277" t="s">
        <v>535</v>
      </c>
      <c r="P2" s="278" t="s">
        <v>536</v>
      </c>
      <c r="Q2" s="278" t="s">
        <v>537</v>
      </c>
      <c r="R2" s="275" t="s">
        <v>533</v>
      </c>
      <c r="S2" s="276" t="s">
        <v>534</v>
      </c>
      <c r="T2" s="277" t="s">
        <v>535</v>
      </c>
      <c r="U2" s="278" t="s">
        <v>536</v>
      </c>
      <c r="V2" s="278" t="s">
        <v>537</v>
      </c>
      <c r="W2" s="275" t="s">
        <v>533</v>
      </c>
      <c r="X2" s="276" t="s">
        <v>534</v>
      </c>
      <c r="Y2" s="277" t="s">
        <v>535</v>
      </c>
      <c r="Z2" s="278" t="s">
        <v>536</v>
      </c>
      <c r="AA2" s="278" t="s">
        <v>537</v>
      </c>
      <c r="AB2" s="275" t="s">
        <v>533</v>
      </c>
      <c r="AC2" s="276" t="s">
        <v>534</v>
      </c>
      <c r="AD2" s="277" t="s">
        <v>535</v>
      </c>
      <c r="AE2" s="278" t="s">
        <v>536</v>
      </c>
      <c r="AF2" s="278" t="s">
        <v>537</v>
      </c>
    </row>
    <row r="3" spans="1:32" ht="27.45" customHeight="1" x14ac:dyDescent="0.3">
      <c r="A3" s="279"/>
      <c r="B3" s="280"/>
      <c r="C3" s="281" t="str">
        <f t="shared" ref="C3:AF3" si="0">CONCATENATE(C1,C2)</f>
        <v>PPPar défaut, inconnue</v>
      </c>
      <c r="D3" s="282" t="str">
        <f t="shared" si="0"/>
        <v>PPincinération, valorisation énergétique</v>
      </c>
      <c r="E3" s="283" t="str">
        <f t="shared" si="0"/>
        <v>PPélimination, enfouissement</v>
      </c>
      <c r="F3" s="284" t="str">
        <f t="shared" si="0"/>
        <v>PPrecyclé</v>
      </c>
      <c r="G3" s="284" t="str">
        <f t="shared" si="0"/>
        <v>PPrecyclage</v>
      </c>
      <c r="H3" s="281" t="str">
        <f t="shared" si="0"/>
        <v>PETPar défaut, inconnue</v>
      </c>
      <c r="I3" s="282" t="str">
        <f t="shared" si="0"/>
        <v>PETincinération, valorisation énergétique</v>
      </c>
      <c r="J3" s="283" t="str">
        <f t="shared" si="0"/>
        <v>PETélimination, enfouissement</v>
      </c>
      <c r="K3" s="284" t="str">
        <f t="shared" si="0"/>
        <v>PETrecyclé</v>
      </c>
      <c r="L3" s="284" t="str">
        <f t="shared" si="0"/>
        <v>PETrecyclage</v>
      </c>
      <c r="M3" s="281" t="str">
        <f t="shared" si="0"/>
        <v>LDPE Par défaut, inconnue</v>
      </c>
      <c r="N3" s="282" t="str">
        <f t="shared" si="0"/>
        <v>LDPE incinération, valorisation énergétique</v>
      </c>
      <c r="O3" s="283" t="str">
        <f t="shared" si="0"/>
        <v>LDPE élimination, enfouissement</v>
      </c>
      <c r="P3" s="284" t="str">
        <f t="shared" si="0"/>
        <v>LDPE recyclé</v>
      </c>
      <c r="Q3" s="284" t="str">
        <f t="shared" si="0"/>
        <v>LDPE recyclage</v>
      </c>
      <c r="R3" s="281" t="str">
        <f t="shared" si="0"/>
        <v>HDPE Par défaut, inconnue</v>
      </c>
      <c r="S3" s="282" t="str">
        <f t="shared" si="0"/>
        <v>HDPE incinération, valorisation énergétique</v>
      </c>
      <c r="T3" s="283" t="str">
        <f t="shared" si="0"/>
        <v>HDPE élimination, enfouissement</v>
      </c>
      <c r="U3" s="284" t="str">
        <f t="shared" si="0"/>
        <v>HDPE recyclé</v>
      </c>
      <c r="V3" s="284" t="str">
        <f t="shared" si="0"/>
        <v>HDPE recyclage</v>
      </c>
      <c r="W3" s="281" t="str">
        <f t="shared" si="0"/>
        <v>PBTPar défaut, inconnue</v>
      </c>
      <c r="X3" s="282" t="str">
        <f t="shared" si="0"/>
        <v>PBTincinération, valorisation énergétique</v>
      </c>
      <c r="Y3" s="283" t="str">
        <f t="shared" si="0"/>
        <v>PBTélimination, enfouissement</v>
      </c>
      <c r="Z3" s="284" t="str">
        <f t="shared" si="0"/>
        <v>PBTrecyclé</v>
      </c>
      <c r="AA3" s="284" t="str">
        <f t="shared" si="0"/>
        <v>PBTrecyclage</v>
      </c>
      <c r="AB3" s="281" t="str">
        <f t="shared" si="0"/>
        <v>PHAPar défaut, inconnue</v>
      </c>
      <c r="AC3" s="282" t="str">
        <f t="shared" si="0"/>
        <v>PHAincinération, valorisation énergétique</v>
      </c>
      <c r="AD3" s="283" t="str">
        <f t="shared" si="0"/>
        <v>PHAélimination, enfouissement</v>
      </c>
      <c r="AE3" s="284" t="str">
        <f t="shared" si="0"/>
        <v>PHArecyclé</v>
      </c>
      <c r="AF3" s="284" t="str">
        <f t="shared" si="0"/>
        <v>PHArecyclage</v>
      </c>
    </row>
    <row r="4" spans="1:32" s="289" customFormat="1" ht="15" x14ac:dyDescent="0.35">
      <c r="A4" s="285"/>
      <c r="B4" s="286" t="s">
        <v>538</v>
      </c>
      <c r="C4" s="287" t="s">
        <v>539</v>
      </c>
      <c r="D4" s="288" t="s">
        <v>540</v>
      </c>
      <c r="E4" s="288" t="s">
        <v>541</v>
      </c>
      <c r="F4" s="288" t="s">
        <v>542</v>
      </c>
      <c r="G4" s="288" t="s">
        <v>543</v>
      </c>
      <c r="H4" s="287" t="s">
        <v>539</v>
      </c>
      <c r="I4" s="288" t="s">
        <v>540</v>
      </c>
      <c r="J4" s="288" t="s">
        <v>541</v>
      </c>
      <c r="K4" s="288" t="s">
        <v>542</v>
      </c>
      <c r="L4" s="288" t="s">
        <v>543</v>
      </c>
      <c r="M4" s="287" t="s">
        <v>539</v>
      </c>
      <c r="N4" s="288" t="s">
        <v>540</v>
      </c>
      <c r="O4" s="288" t="s">
        <v>541</v>
      </c>
      <c r="P4" s="288" t="s">
        <v>542</v>
      </c>
      <c r="Q4" s="288" t="s">
        <v>543</v>
      </c>
      <c r="R4" s="287" t="s">
        <v>539</v>
      </c>
      <c r="S4" s="288" t="s">
        <v>540</v>
      </c>
      <c r="T4" s="288" t="s">
        <v>541</v>
      </c>
      <c r="U4" s="288" t="s">
        <v>542</v>
      </c>
      <c r="V4" s="288" t="s">
        <v>543</v>
      </c>
      <c r="W4" s="287" t="s">
        <v>539</v>
      </c>
      <c r="X4" s="288" t="s">
        <v>540</v>
      </c>
      <c r="Y4" s="288" t="s">
        <v>541</v>
      </c>
      <c r="Z4" s="288" t="s">
        <v>542</v>
      </c>
      <c r="AA4" s="288" t="s">
        <v>543</v>
      </c>
      <c r="AB4" s="287" t="s">
        <v>539</v>
      </c>
      <c r="AC4" s="288" t="s">
        <v>540</v>
      </c>
      <c r="AD4" s="288" t="s">
        <v>541</v>
      </c>
      <c r="AE4" s="288" t="s">
        <v>542</v>
      </c>
      <c r="AF4" s="288" t="s">
        <v>543</v>
      </c>
    </row>
    <row r="5" spans="1:32" ht="19.95" customHeight="1" x14ac:dyDescent="0.3">
      <c r="A5" s="290" t="s">
        <v>327</v>
      </c>
      <c r="B5" s="291" t="s">
        <v>336</v>
      </c>
      <c r="C5" s="292">
        <v>3.5858192999999998</v>
      </c>
      <c r="D5" s="293">
        <v>-0.86572464999999998</v>
      </c>
      <c r="E5" s="293">
        <v>-7.1919412000000002E-2</v>
      </c>
      <c r="F5" s="293">
        <v>0.15934054</v>
      </c>
      <c r="G5" s="293">
        <v>0.15934054</v>
      </c>
      <c r="H5" s="292">
        <v>4.1799457000000002</v>
      </c>
      <c r="I5" s="293">
        <v>-0.86572464999999998</v>
      </c>
      <c r="J5" s="293">
        <v>-7.1919412000000002E-2</v>
      </c>
      <c r="K5" s="293">
        <v>0.42751919999999999</v>
      </c>
      <c r="L5" s="293">
        <v>0.42751919999999999</v>
      </c>
      <c r="M5" s="294">
        <v>3.9928648</v>
      </c>
      <c r="N5" s="293">
        <v>-0.86572464999999998</v>
      </c>
      <c r="O5" s="293">
        <v>-7.1919412000000002E-2</v>
      </c>
      <c r="P5" s="293">
        <v>0.17064777</v>
      </c>
      <c r="Q5" s="293">
        <v>0.17064777</v>
      </c>
      <c r="R5" s="292">
        <v>3.8275326999999999</v>
      </c>
      <c r="S5" s="293">
        <v>-0.86572464999999998</v>
      </c>
      <c r="T5" s="293">
        <v>-7.1919412000000002E-2</v>
      </c>
      <c r="U5" s="293">
        <v>0.17064777</v>
      </c>
      <c r="V5" s="293">
        <v>0.17064777</v>
      </c>
      <c r="W5" s="292">
        <v>3.8275326999999999</v>
      </c>
      <c r="X5" s="293">
        <v>-0.86572464999999998</v>
      </c>
      <c r="Y5" s="293">
        <v>-7.1919412000000002E-2</v>
      </c>
      <c r="Z5" s="295">
        <v>0.17064777</v>
      </c>
      <c r="AA5" s="295">
        <v>0.17064777</v>
      </c>
      <c r="AB5" s="292">
        <v>3.8275326999999999</v>
      </c>
      <c r="AC5" s="293">
        <v>-4.9664001999999999E-2</v>
      </c>
      <c r="AD5" s="293">
        <v>-0.56890596999999998</v>
      </c>
      <c r="AE5" s="295">
        <v>0.42751919999999999</v>
      </c>
      <c r="AF5" s="295">
        <v>0.42751919999999999</v>
      </c>
    </row>
    <row r="6" spans="1:32" ht="19.95" customHeight="1" x14ac:dyDescent="0.3">
      <c r="A6" s="144" t="s">
        <v>416</v>
      </c>
      <c r="B6" s="291" t="s">
        <v>417</v>
      </c>
      <c r="C6" s="292">
        <v>4.6498114E-8</v>
      </c>
      <c r="D6" s="293">
        <v>1.6045051000000001E-7</v>
      </c>
      <c r="E6" s="293">
        <v>-2.2703682000000001E-9</v>
      </c>
      <c r="F6" s="293">
        <v>3.0499457000000001E-9</v>
      </c>
      <c r="G6" s="293">
        <v>3.0499457000000001E-9</v>
      </c>
      <c r="H6" s="292">
        <v>1.5176476E-5</v>
      </c>
      <c r="I6" s="293">
        <v>1.6045051000000001E-7</v>
      </c>
      <c r="J6" s="293">
        <v>-2.2703682000000001E-9</v>
      </c>
      <c r="K6" s="293">
        <v>1.3179058E-8</v>
      </c>
      <c r="L6" s="293">
        <v>1.3179058E-8</v>
      </c>
      <c r="M6" s="294">
        <v>5.4448147000000003E-8</v>
      </c>
      <c r="N6" s="293">
        <v>1.6045051000000001E-7</v>
      </c>
      <c r="O6" s="293">
        <v>-2.2703682000000001E-9</v>
      </c>
      <c r="P6" s="293">
        <v>3.7804804999999999E-9</v>
      </c>
      <c r="Q6" s="293">
        <v>3.7804804999999999E-9</v>
      </c>
      <c r="R6" s="292">
        <v>6.0616397000000002E-8</v>
      </c>
      <c r="S6" s="293">
        <v>1.6045051000000001E-7</v>
      </c>
      <c r="T6" s="293">
        <v>-2.2703682000000001E-9</v>
      </c>
      <c r="U6" s="293">
        <v>3.7804804999999999E-9</v>
      </c>
      <c r="V6" s="293">
        <v>3.7804804999999999E-9</v>
      </c>
      <c r="W6" s="292">
        <v>6.0616397000000002E-8</v>
      </c>
      <c r="X6" s="293">
        <v>1.6045051000000001E-7</v>
      </c>
      <c r="Y6" s="293">
        <v>-2.2703682000000001E-9</v>
      </c>
      <c r="Z6" s="295">
        <v>3.7804804999999999E-9</v>
      </c>
      <c r="AA6" s="295">
        <v>3.7804804999999999E-9</v>
      </c>
      <c r="AB6" s="292">
        <v>6.0616397000000002E-8</v>
      </c>
      <c r="AC6" s="293">
        <v>-2.4853548999999998E-9</v>
      </c>
      <c r="AD6" s="293">
        <v>-2.2703701999999999E-9</v>
      </c>
      <c r="AE6" s="295">
        <v>1.3179058E-8</v>
      </c>
      <c r="AF6" s="295">
        <v>1.3179058E-8</v>
      </c>
    </row>
    <row r="7" spans="1:32" ht="19.95" customHeight="1" x14ac:dyDescent="0.3">
      <c r="A7" s="144" t="s">
        <v>418</v>
      </c>
      <c r="B7" s="291" t="s">
        <v>419</v>
      </c>
      <c r="C7" s="292">
        <v>6.1061599000000001E-2</v>
      </c>
      <c r="D7" s="293">
        <v>0.25370590999999998</v>
      </c>
      <c r="E7" s="293">
        <v>-3.5874136E-3</v>
      </c>
      <c r="F7" s="293">
        <v>9.7333377999999998E-2</v>
      </c>
      <c r="G7" s="293">
        <v>9.7333377999999998E-2</v>
      </c>
      <c r="H7" s="292">
        <v>0.15895408999999999</v>
      </c>
      <c r="I7" s="293">
        <v>0.25370590999999998</v>
      </c>
      <c r="J7" s="293">
        <v>-3.5874136E-3</v>
      </c>
      <c r="K7" s="293">
        <v>0.15054982</v>
      </c>
      <c r="L7" s="293">
        <v>0.15054982</v>
      </c>
      <c r="M7" s="294">
        <v>0.12005078</v>
      </c>
      <c r="N7" s="293">
        <v>0.25370590999999998</v>
      </c>
      <c r="O7" s="293">
        <v>-3.5874136E-3</v>
      </c>
      <c r="P7" s="293">
        <v>9.4258686999999994E-2</v>
      </c>
      <c r="Q7" s="293">
        <v>9.4258686999999994E-2</v>
      </c>
      <c r="R7" s="292">
        <v>7.6241301999999997E-2</v>
      </c>
      <c r="S7" s="293">
        <v>0.25370590999999998</v>
      </c>
      <c r="T7" s="293">
        <v>-3.5874136E-3</v>
      </c>
      <c r="U7" s="293">
        <v>9.4258686999999994E-2</v>
      </c>
      <c r="V7" s="293">
        <v>9.4258686999999994E-2</v>
      </c>
      <c r="W7" s="292">
        <v>7.6241301999999997E-2</v>
      </c>
      <c r="X7" s="293">
        <v>0.25370590999999998</v>
      </c>
      <c r="Y7" s="293">
        <v>-3.5874136E-3</v>
      </c>
      <c r="Z7" s="295">
        <v>9.4258686999999994E-2</v>
      </c>
      <c r="AA7" s="295">
        <v>9.4258686999999994E-2</v>
      </c>
      <c r="AB7" s="292">
        <v>7.6241301999999997E-2</v>
      </c>
      <c r="AC7" s="293">
        <v>-3.7675345000000001E-3</v>
      </c>
      <c r="AD7" s="293">
        <v>-3.5874167999999998E-3</v>
      </c>
      <c r="AE7" s="295">
        <v>0.15054982</v>
      </c>
      <c r="AF7" s="295">
        <v>0.15054982</v>
      </c>
    </row>
    <row r="8" spans="1:32" ht="19.95" customHeight="1" x14ac:dyDescent="0.3">
      <c r="A8" s="290" t="s">
        <v>328</v>
      </c>
      <c r="B8" s="291" t="s">
        <v>342</v>
      </c>
      <c r="C8" s="292">
        <v>7.9983989000000002E-3</v>
      </c>
      <c r="D8" s="293">
        <v>4.8975648000000004E-3</v>
      </c>
      <c r="E8" s="293">
        <v>-1.9214072000000001E-4</v>
      </c>
      <c r="F8" s="293">
        <v>4.3002854000000001E-4</v>
      </c>
      <c r="G8" s="293">
        <v>4.3002854000000001E-4</v>
      </c>
      <c r="H8" s="292">
        <v>1.0302851999999999E-2</v>
      </c>
      <c r="I8" s="293">
        <v>4.8975648000000004E-3</v>
      </c>
      <c r="J8" s="293">
        <v>-1.9214072000000001E-4</v>
      </c>
      <c r="K8" s="293">
        <v>1.0398085000000001E-3</v>
      </c>
      <c r="L8" s="293">
        <v>1.0398085000000001E-3</v>
      </c>
      <c r="M8" s="294">
        <v>1.1066115E-2</v>
      </c>
      <c r="N8" s="293">
        <v>4.8975648000000004E-3</v>
      </c>
      <c r="O8" s="293">
        <v>-1.9214072000000001E-4</v>
      </c>
      <c r="P8" s="293">
        <v>4.6315437E-4</v>
      </c>
      <c r="Q8" s="293">
        <v>4.6315437E-4</v>
      </c>
      <c r="R8" s="292">
        <v>8.5605900999999995E-3</v>
      </c>
      <c r="S8" s="293">
        <v>4.8975648000000004E-3</v>
      </c>
      <c r="T8" s="293">
        <v>-1.9214072000000001E-4</v>
      </c>
      <c r="U8" s="293">
        <v>4.6315437E-4</v>
      </c>
      <c r="V8" s="293">
        <v>4.6315437E-4</v>
      </c>
      <c r="W8" s="292">
        <v>8.5605900999999995E-3</v>
      </c>
      <c r="X8" s="293">
        <v>4.8975648000000004E-3</v>
      </c>
      <c r="Y8" s="293">
        <v>-1.9214072000000001E-4</v>
      </c>
      <c r="Z8" s="295">
        <v>4.6315437E-4</v>
      </c>
      <c r="AA8" s="295">
        <v>4.6315437E-4</v>
      </c>
      <c r="AB8" s="292">
        <v>8.5605900999999995E-3</v>
      </c>
      <c r="AC8" s="293">
        <v>-6.4638414000000005E-4</v>
      </c>
      <c r="AD8" s="293">
        <v>-4.6474944000000001E-4</v>
      </c>
      <c r="AE8" s="295">
        <v>1.0398085000000001E-3</v>
      </c>
      <c r="AF8" s="295">
        <v>1.0398085000000001E-3</v>
      </c>
    </row>
    <row r="9" spans="1:32" ht="19.95" customHeight="1" x14ac:dyDescent="0.3">
      <c r="A9" s="144" t="s">
        <v>329</v>
      </c>
      <c r="B9" s="291" t="s">
        <v>343</v>
      </c>
      <c r="C9" s="292">
        <v>9.5872464000000002E-8</v>
      </c>
      <c r="D9" s="293">
        <v>1.4669214000000001E-7</v>
      </c>
      <c r="E9" s="293">
        <v>-2.2139156000000001E-8</v>
      </c>
      <c r="F9" s="293">
        <v>4.5091019000000003E-9</v>
      </c>
      <c r="G9" s="293">
        <v>4.5091019000000003E-9</v>
      </c>
      <c r="H9" s="292">
        <v>1.4795795000000001E-7</v>
      </c>
      <c r="I9" s="293">
        <v>1.4669214000000001E-7</v>
      </c>
      <c r="J9" s="293">
        <v>-2.2139156000000001E-8</v>
      </c>
      <c r="K9" s="293">
        <v>8.0780695000000003E-9</v>
      </c>
      <c r="L9" s="293">
        <v>8.0780695000000003E-9</v>
      </c>
      <c r="M9" s="294">
        <v>1.0405132000000001E-7</v>
      </c>
      <c r="N9" s="293">
        <v>1.4669214000000001E-7</v>
      </c>
      <c r="O9" s="293">
        <v>-2.2139156000000001E-8</v>
      </c>
      <c r="P9" s="293">
        <v>4.8432121999999997E-9</v>
      </c>
      <c r="Q9" s="293">
        <v>4.8432121999999997E-9</v>
      </c>
      <c r="R9" s="292">
        <v>9.7373824000000006E-8</v>
      </c>
      <c r="S9" s="293">
        <v>1.4669214000000001E-7</v>
      </c>
      <c r="T9" s="293">
        <v>-2.2139156000000001E-8</v>
      </c>
      <c r="U9" s="293">
        <v>4.8432121999999997E-9</v>
      </c>
      <c r="V9" s="293">
        <v>4.8432121999999997E-9</v>
      </c>
      <c r="W9" s="292">
        <v>9.7373824000000006E-8</v>
      </c>
      <c r="X9" s="293">
        <v>1.4669214000000001E-7</v>
      </c>
      <c r="Y9" s="293">
        <v>-2.2139156000000001E-8</v>
      </c>
      <c r="Z9" s="295">
        <v>4.8432121999999997E-9</v>
      </c>
      <c r="AA9" s="295">
        <v>4.8432121999999997E-9</v>
      </c>
      <c r="AB9" s="292">
        <v>9.7373824000000006E-8</v>
      </c>
      <c r="AC9" s="293">
        <v>-2.6076798000000002E-9</v>
      </c>
      <c r="AD9" s="293">
        <v>-2.2663102999999999E-8</v>
      </c>
      <c r="AE9" s="295">
        <v>8.0780695000000003E-9</v>
      </c>
      <c r="AF9" s="295">
        <v>8.0780695000000003E-9</v>
      </c>
    </row>
    <row r="10" spans="1:32" ht="19.95" customHeight="1" x14ac:dyDescent="0.3">
      <c r="A10" s="144" t="s">
        <v>420</v>
      </c>
      <c r="B10" s="291" t="s">
        <v>421</v>
      </c>
      <c r="C10" s="292">
        <v>1.7927735999999999E-8</v>
      </c>
      <c r="D10" s="293">
        <v>7.6409497999999993E-9</v>
      </c>
      <c r="E10" s="293">
        <v>-2.0773666000000001E-10</v>
      </c>
      <c r="F10" s="293">
        <v>1.2679718999999999E-9</v>
      </c>
      <c r="G10" s="293">
        <v>1.2679718999999999E-9</v>
      </c>
      <c r="H10" s="292">
        <v>3.8395443E-8</v>
      </c>
      <c r="I10" s="293">
        <v>7.6409497999999993E-9</v>
      </c>
      <c r="J10" s="293">
        <v>-2.0773666000000001E-10</v>
      </c>
      <c r="K10" s="293">
        <v>2.2478817E-9</v>
      </c>
      <c r="L10" s="293">
        <v>2.2478817E-9</v>
      </c>
      <c r="M10" s="294">
        <v>2.0885889E-8</v>
      </c>
      <c r="N10" s="293">
        <v>7.6409497999999993E-9</v>
      </c>
      <c r="O10" s="293">
        <v>-2.0773666000000001E-10</v>
      </c>
      <c r="P10" s="293">
        <v>1.2776702000000001E-9</v>
      </c>
      <c r="Q10" s="293">
        <v>1.2776702000000001E-9</v>
      </c>
      <c r="R10" s="292">
        <v>1.858454E-8</v>
      </c>
      <c r="S10" s="293">
        <v>7.6409497999999993E-9</v>
      </c>
      <c r="T10" s="293">
        <v>-2.0773666000000001E-10</v>
      </c>
      <c r="U10" s="293">
        <v>1.2776702000000001E-9</v>
      </c>
      <c r="V10" s="293">
        <v>1.2776702000000001E-9</v>
      </c>
      <c r="W10" s="292">
        <v>1.858454E-8</v>
      </c>
      <c r="X10" s="293">
        <v>7.6409497999999993E-9</v>
      </c>
      <c r="Y10" s="293">
        <v>-2.0773666000000001E-10</v>
      </c>
      <c r="Z10" s="295">
        <v>1.2776702000000001E-9</v>
      </c>
      <c r="AA10" s="295">
        <v>1.2776702000000001E-9</v>
      </c>
      <c r="AB10" s="292">
        <v>1.858454E-8</v>
      </c>
      <c r="AC10" s="293">
        <v>-3.2734236999999999E-10</v>
      </c>
      <c r="AD10" s="293">
        <v>-6.9221840000000002E-10</v>
      </c>
      <c r="AE10" s="295">
        <v>2.2478817E-9</v>
      </c>
      <c r="AF10" s="295">
        <v>2.2478817E-9</v>
      </c>
    </row>
    <row r="11" spans="1:32" ht="19.95" customHeight="1" x14ac:dyDescent="0.3">
      <c r="A11" s="144" t="s">
        <v>422</v>
      </c>
      <c r="B11" s="291" t="s">
        <v>421</v>
      </c>
      <c r="C11" s="292">
        <v>8.1068917000000005E-10</v>
      </c>
      <c r="D11" s="293">
        <v>1.7898562999999999E-10</v>
      </c>
      <c r="E11" s="293">
        <v>-1.9487869E-11</v>
      </c>
      <c r="F11" s="293">
        <v>4.1709014000000001E-10</v>
      </c>
      <c r="G11" s="293">
        <v>4.1709014000000001E-10</v>
      </c>
      <c r="H11" s="292">
        <v>2.1402501E-9</v>
      </c>
      <c r="I11" s="293">
        <v>1.7898562999999999E-10</v>
      </c>
      <c r="J11" s="293">
        <v>-1.9487869E-11</v>
      </c>
      <c r="K11" s="293">
        <v>9.9302582000000002E-10</v>
      </c>
      <c r="L11" s="293">
        <v>9.9302582000000002E-10</v>
      </c>
      <c r="M11" s="294">
        <v>9.0326547999999995E-10</v>
      </c>
      <c r="N11" s="293">
        <v>1.7898562999999999E-10</v>
      </c>
      <c r="O11" s="293">
        <v>-1.9487869E-11</v>
      </c>
      <c r="P11" s="293">
        <v>4.5129861999999999E-10</v>
      </c>
      <c r="Q11" s="293">
        <v>4.5129861999999999E-10</v>
      </c>
      <c r="R11" s="292">
        <v>9.1009509999999998E-10</v>
      </c>
      <c r="S11" s="293">
        <v>1.7898562999999999E-10</v>
      </c>
      <c r="T11" s="293">
        <v>-1.9487869E-11</v>
      </c>
      <c r="U11" s="293">
        <v>4.5129861999999999E-10</v>
      </c>
      <c r="V11" s="293">
        <v>4.5129861999999999E-10</v>
      </c>
      <c r="W11" s="292">
        <v>9.1009509999999998E-10</v>
      </c>
      <c r="X11" s="293">
        <v>1.7898562999999999E-10</v>
      </c>
      <c r="Y11" s="293">
        <v>-1.9487869E-11</v>
      </c>
      <c r="Z11" s="295">
        <v>4.5129861999999999E-10</v>
      </c>
      <c r="AA11" s="295">
        <v>4.5129861999999999E-10</v>
      </c>
      <c r="AB11" s="292">
        <v>9.1009509999999998E-10</v>
      </c>
      <c r="AC11" s="293">
        <v>-7.6701737999999996E-12</v>
      </c>
      <c r="AD11" s="293">
        <v>-8.0999601999999995E-12</v>
      </c>
      <c r="AE11" s="295">
        <v>9.9302582000000002E-10</v>
      </c>
      <c r="AF11" s="295">
        <v>9.9302582000000002E-10</v>
      </c>
    </row>
    <row r="12" spans="1:32" ht="19.95" customHeight="1" x14ac:dyDescent="0.3">
      <c r="A12" s="144" t="s">
        <v>330</v>
      </c>
      <c r="B12" s="291" t="s">
        <v>344</v>
      </c>
      <c r="C12" s="292">
        <v>9.6864949999999998E-3</v>
      </c>
      <c r="D12" s="293">
        <v>1.5203964E-2</v>
      </c>
      <c r="E12" s="293">
        <v>-2.8440295E-4</v>
      </c>
      <c r="F12" s="293">
        <v>7.9088325999999997E-4</v>
      </c>
      <c r="G12" s="293">
        <v>7.9088325999999997E-4</v>
      </c>
      <c r="H12" s="292">
        <v>1.4239252000000001E-2</v>
      </c>
      <c r="I12" s="293">
        <v>1.5203964E-2</v>
      </c>
      <c r="J12" s="293">
        <v>-2.8440295E-4</v>
      </c>
      <c r="K12" s="293">
        <v>1.4264174000000001E-3</v>
      </c>
      <c r="L12" s="293">
        <v>1.4264174000000001E-3</v>
      </c>
      <c r="M12" s="294">
        <v>1.0940744000000001E-2</v>
      </c>
      <c r="N12" s="293">
        <v>1.5203964E-2</v>
      </c>
      <c r="O12" s="293">
        <v>-2.8440295E-4</v>
      </c>
      <c r="P12" s="293">
        <v>7.9813189000000001E-4</v>
      </c>
      <c r="Q12" s="293">
        <v>7.9813189000000001E-4</v>
      </c>
      <c r="R12" s="292">
        <v>9.8791971000000006E-3</v>
      </c>
      <c r="S12" s="293">
        <v>1.5203964E-2</v>
      </c>
      <c r="T12" s="293">
        <v>-2.8440295E-4</v>
      </c>
      <c r="U12" s="293">
        <v>7.9813189000000001E-4</v>
      </c>
      <c r="V12" s="293">
        <v>7.9813189000000001E-4</v>
      </c>
      <c r="W12" s="292">
        <v>9.8791971000000006E-3</v>
      </c>
      <c r="X12" s="293">
        <v>1.5203964E-2</v>
      </c>
      <c r="Y12" s="293">
        <v>-2.8440295E-4</v>
      </c>
      <c r="Z12" s="295">
        <v>7.9813189000000001E-4</v>
      </c>
      <c r="AA12" s="295">
        <v>7.9813189000000001E-4</v>
      </c>
      <c r="AB12" s="292">
        <v>9.8791971000000006E-3</v>
      </c>
      <c r="AC12" s="293">
        <v>-6.2007458000000004E-4</v>
      </c>
      <c r="AD12" s="293">
        <v>-4.0820693000000001E-4</v>
      </c>
      <c r="AE12" s="295">
        <v>1.4264174000000001E-3</v>
      </c>
      <c r="AF12" s="295">
        <v>1.4264174000000001E-3</v>
      </c>
    </row>
    <row r="13" spans="1:32" ht="19.95" customHeight="1" x14ac:dyDescent="0.3">
      <c r="A13" s="144" t="s">
        <v>331</v>
      </c>
      <c r="B13" s="291" t="s">
        <v>345</v>
      </c>
      <c r="C13" s="292">
        <v>3.9390851999999998E-4</v>
      </c>
      <c r="D13" s="293">
        <v>3.7257835000000002E-7</v>
      </c>
      <c r="E13" s="293">
        <v>-3.3771856999999997E-5</v>
      </c>
      <c r="F13" s="293">
        <v>1.3275061999999999E-4</v>
      </c>
      <c r="G13" s="293">
        <v>1.3275061999999999E-4</v>
      </c>
      <c r="H13" s="292">
        <v>6.2805431000000002E-4</v>
      </c>
      <c r="I13" s="293">
        <v>3.7257835000000002E-7</v>
      </c>
      <c r="J13" s="293">
        <v>-3.3771856999999997E-5</v>
      </c>
      <c r="K13" s="293">
        <v>2.0966746999999999E-4</v>
      </c>
      <c r="L13" s="293">
        <v>2.0966746999999999E-4</v>
      </c>
      <c r="M13" s="294">
        <v>5.4812979000000005E-4</v>
      </c>
      <c r="N13" s="293">
        <v>3.7257835000000002E-7</v>
      </c>
      <c r="O13" s="293">
        <v>-3.3771856999999997E-5</v>
      </c>
      <c r="P13" s="293">
        <v>1.2932781999999999E-4</v>
      </c>
      <c r="Q13" s="293">
        <v>1.2932781999999999E-4</v>
      </c>
      <c r="R13" s="292">
        <v>4.0821710999999999E-4</v>
      </c>
      <c r="S13" s="293">
        <v>3.7257835000000002E-7</v>
      </c>
      <c r="T13" s="293">
        <v>-3.3771856999999997E-5</v>
      </c>
      <c r="U13" s="293">
        <v>1.2932781999999999E-4</v>
      </c>
      <c r="V13" s="293">
        <v>1.2932781999999999E-4</v>
      </c>
      <c r="W13" s="292">
        <v>4.0821710999999999E-4</v>
      </c>
      <c r="X13" s="293">
        <v>3.7257835000000002E-7</v>
      </c>
      <c r="Y13" s="293">
        <v>-3.3771856999999997E-5</v>
      </c>
      <c r="Z13" s="295">
        <v>1.2932781999999999E-4</v>
      </c>
      <c r="AA13" s="295">
        <v>1.2932781999999999E-4</v>
      </c>
      <c r="AB13" s="292">
        <v>4.0821710999999999E-4</v>
      </c>
      <c r="AC13" s="293">
        <v>-1.4948787999999999E-8</v>
      </c>
      <c r="AD13" s="293">
        <v>-1.0591003E-4</v>
      </c>
      <c r="AE13" s="295">
        <v>2.0966746999999999E-4</v>
      </c>
      <c r="AF13" s="295">
        <v>2.0966746999999999E-4</v>
      </c>
    </row>
    <row r="14" spans="1:32" ht="19.95" customHeight="1" x14ac:dyDescent="0.3">
      <c r="A14" s="144" t="s">
        <v>423</v>
      </c>
      <c r="B14" s="291" t="s">
        <v>424</v>
      </c>
      <c r="C14" s="292">
        <v>1.9722701E-3</v>
      </c>
      <c r="D14" s="293">
        <v>1.5383413E-3</v>
      </c>
      <c r="E14" s="293">
        <v>-5.9943874000000003E-5</v>
      </c>
      <c r="F14" s="293">
        <v>1.3826503000000001E-4</v>
      </c>
      <c r="G14" s="293">
        <v>1.3826503000000001E-4</v>
      </c>
      <c r="H14" s="292">
        <v>3.3925188E-3</v>
      </c>
      <c r="I14" s="293">
        <v>1.5383413E-3</v>
      </c>
      <c r="J14" s="293">
        <v>-5.9943874000000003E-5</v>
      </c>
      <c r="K14" s="293">
        <v>2.7980700999999999E-4</v>
      </c>
      <c r="L14" s="293">
        <v>2.7980700999999999E-4</v>
      </c>
      <c r="M14" s="294">
        <v>2.3340428E-3</v>
      </c>
      <c r="N14" s="293">
        <v>1.5383413E-3</v>
      </c>
      <c r="O14" s="293">
        <v>-5.9943874000000003E-5</v>
      </c>
      <c r="P14" s="293">
        <v>1.4404969E-4</v>
      </c>
      <c r="Q14" s="293">
        <v>1.4404969E-4</v>
      </c>
      <c r="R14" s="292">
        <v>2.0724097000000001E-3</v>
      </c>
      <c r="S14" s="293">
        <v>1.5383413E-3</v>
      </c>
      <c r="T14" s="293">
        <v>-5.9943874000000003E-5</v>
      </c>
      <c r="U14" s="293">
        <v>1.4404969E-4</v>
      </c>
      <c r="V14" s="293">
        <v>1.4404969E-4</v>
      </c>
      <c r="W14" s="292">
        <v>2.0724097000000001E-3</v>
      </c>
      <c r="X14" s="293">
        <v>1.5383413E-3</v>
      </c>
      <c r="Y14" s="293">
        <v>-5.9943874000000003E-5</v>
      </c>
      <c r="Z14" s="295">
        <v>1.4404969E-4</v>
      </c>
      <c r="AA14" s="295">
        <v>1.4404969E-4</v>
      </c>
      <c r="AB14" s="292">
        <v>2.0724097000000001E-3</v>
      </c>
      <c r="AC14" s="293">
        <v>-2.4914274999999998E-4</v>
      </c>
      <c r="AD14" s="293">
        <v>-5.3084637E-4</v>
      </c>
      <c r="AE14" s="295">
        <v>2.7980700999999999E-4</v>
      </c>
      <c r="AF14" s="295">
        <v>2.7980700999999999E-4</v>
      </c>
    </row>
    <row r="15" spans="1:32" ht="19.95" customHeight="1" x14ac:dyDescent="0.3">
      <c r="A15" s="144" t="s">
        <v>425</v>
      </c>
      <c r="B15" s="291" t="s">
        <v>426</v>
      </c>
      <c r="C15" s="292">
        <v>1.9870582000000001E-2</v>
      </c>
      <c r="D15" s="293">
        <v>1.5909374E-2</v>
      </c>
      <c r="E15" s="293">
        <v>-6.5510446999999996E-4</v>
      </c>
      <c r="F15" s="293">
        <v>1.2178496E-3</v>
      </c>
      <c r="G15" s="293">
        <v>1.2178496E-3</v>
      </c>
      <c r="H15" s="292">
        <v>2.8557178999999999E-2</v>
      </c>
      <c r="I15" s="293">
        <v>1.5909374E-2</v>
      </c>
      <c r="J15" s="293">
        <v>-6.5510446999999996E-4</v>
      </c>
      <c r="K15" s="293">
        <v>2.5822542E-3</v>
      </c>
      <c r="L15" s="293">
        <v>2.5822542E-3</v>
      </c>
      <c r="M15" s="294">
        <v>2.3030174E-2</v>
      </c>
      <c r="N15" s="293">
        <v>1.5909374E-2</v>
      </c>
      <c r="O15" s="293">
        <v>-6.5510446999999996E-4</v>
      </c>
      <c r="P15" s="293">
        <v>1.2871429999999999E-3</v>
      </c>
      <c r="Q15" s="293">
        <v>1.2871429999999999E-3</v>
      </c>
      <c r="R15" s="292">
        <v>2.0716206000000001E-2</v>
      </c>
      <c r="S15" s="293">
        <v>1.5909374E-2</v>
      </c>
      <c r="T15" s="293">
        <v>-6.5510446999999996E-4</v>
      </c>
      <c r="U15" s="293">
        <v>1.2871429999999999E-3</v>
      </c>
      <c r="V15" s="293">
        <v>1.2871429999999999E-3</v>
      </c>
      <c r="W15" s="292">
        <v>2.0716206000000001E-2</v>
      </c>
      <c r="X15" s="293">
        <v>1.5909374E-2</v>
      </c>
      <c r="Y15" s="293">
        <v>-6.5510446999999996E-4</v>
      </c>
      <c r="Z15" s="295">
        <v>1.2871429999999999E-3</v>
      </c>
      <c r="AA15" s="295">
        <v>1.2871429999999999E-3</v>
      </c>
      <c r="AB15" s="292">
        <v>2.0716206000000001E-2</v>
      </c>
      <c r="AC15" s="293">
        <v>-2.8538828000000001E-3</v>
      </c>
      <c r="AD15" s="293">
        <v>-1.3010252E-3</v>
      </c>
      <c r="AE15" s="295">
        <v>2.5822542E-3</v>
      </c>
      <c r="AF15" s="295">
        <v>2.5822542E-3</v>
      </c>
    </row>
    <row r="16" spans="1:32" ht="19.95" customHeight="1" x14ac:dyDescent="0.3">
      <c r="A16" s="144" t="s">
        <v>427</v>
      </c>
      <c r="B16" s="291" t="s">
        <v>428</v>
      </c>
      <c r="C16" s="292">
        <v>24.423494000000002</v>
      </c>
      <c r="D16" s="293">
        <v>4.7172385999999999</v>
      </c>
      <c r="E16" s="293">
        <v>-0.97420434</v>
      </c>
      <c r="F16" s="293">
        <f t="shared" ref="F16:G16" si="1">SUM(F14:F15)</f>
        <v>1.3561146299999999E-3</v>
      </c>
      <c r="G16" s="293">
        <f t="shared" si="1"/>
        <v>1.3561146299999999E-3</v>
      </c>
      <c r="H16" s="292">
        <v>45.408168000000003</v>
      </c>
      <c r="I16" s="293">
        <v>4.7172385999999999</v>
      </c>
      <c r="J16" s="293">
        <v>-0.97420434</v>
      </c>
      <c r="K16" s="293">
        <f t="shared" ref="K16:L16" si="2">SUM(K14:K15)</f>
        <v>2.86206121E-3</v>
      </c>
      <c r="L16" s="293">
        <f t="shared" si="2"/>
        <v>2.86206121E-3</v>
      </c>
      <c r="M16" s="294">
        <v>29.57085</v>
      </c>
      <c r="N16" s="293">
        <v>4.7172385999999999</v>
      </c>
      <c r="O16" s="293">
        <v>-0.97420434</v>
      </c>
      <c r="P16" s="293">
        <v>0.54138684000000004</v>
      </c>
      <c r="Q16" s="293">
        <v>0.54138684000000004</v>
      </c>
      <c r="R16" s="292">
        <v>25.701136999999999</v>
      </c>
      <c r="S16" s="293">
        <v>4.7172385999999999</v>
      </c>
      <c r="T16" s="293">
        <v>-0.97420434</v>
      </c>
      <c r="U16" s="293">
        <v>0.54138684000000004</v>
      </c>
      <c r="V16" s="293">
        <v>0.54138684000000004</v>
      </c>
      <c r="W16" s="292">
        <v>25.701136999999999</v>
      </c>
      <c r="X16" s="293">
        <v>4.7172385999999999</v>
      </c>
      <c r="Y16" s="293">
        <v>-0.97420434</v>
      </c>
      <c r="Z16" s="295">
        <v>0.54138684000000004</v>
      </c>
      <c r="AA16" s="295">
        <v>0.54138684000000004</v>
      </c>
      <c r="AB16" s="292">
        <v>25.701136999999999</v>
      </c>
      <c r="AC16" s="293">
        <v>-0.10686153</v>
      </c>
      <c r="AD16" s="293">
        <v>-1.7510954000000001</v>
      </c>
      <c r="AE16" s="295">
        <f t="shared" ref="AE16:AF16" si="3">SUM(AE14:AE15)</f>
        <v>2.86206121E-3</v>
      </c>
      <c r="AF16" s="295">
        <f t="shared" si="3"/>
        <v>2.86206121E-3</v>
      </c>
    </row>
    <row r="17" spans="1:45" ht="19.95" customHeight="1" x14ac:dyDescent="0.3">
      <c r="A17" s="144" t="s">
        <v>429</v>
      </c>
      <c r="B17" s="291" t="s">
        <v>430</v>
      </c>
      <c r="C17" s="292">
        <v>3.5952156999999998</v>
      </c>
      <c r="D17" s="293">
        <v>0</v>
      </c>
      <c r="E17" s="293">
        <v>0</v>
      </c>
      <c r="F17" s="293">
        <v>0.61296346000000002</v>
      </c>
      <c r="G17" s="293">
        <v>0.61296346000000002</v>
      </c>
      <c r="H17" s="292">
        <v>8.1898593999999996</v>
      </c>
      <c r="I17" s="293">
        <v>0</v>
      </c>
      <c r="J17" s="293">
        <v>0</v>
      </c>
      <c r="K17" s="293">
        <v>1.0042628</v>
      </c>
      <c r="L17" s="293">
        <v>1.0042628</v>
      </c>
      <c r="M17" s="294">
        <v>4.4304462999999998</v>
      </c>
      <c r="N17" s="293">
        <v>0</v>
      </c>
      <c r="O17" s="293">
        <v>0</v>
      </c>
      <c r="P17" s="293">
        <v>0.60284764000000002</v>
      </c>
      <c r="Q17" s="293">
        <v>0.60284764000000002</v>
      </c>
      <c r="R17" s="292">
        <v>3.8009434999999998</v>
      </c>
      <c r="S17" s="293">
        <v>0</v>
      </c>
      <c r="T17" s="293">
        <v>0</v>
      </c>
      <c r="U17" s="293">
        <v>0.60284764000000002</v>
      </c>
      <c r="V17" s="293">
        <v>0.60284764000000002</v>
      </c>
      <c r="W17" s="292">
        <v>3.8009434999999998</v>
      </c>
      <c r="X17" s="293">
        <v>0</v>
      </c>
      <c r="Y17" s="293">
        <v>0</v>
      </c>
      <c r="Z17" s="295">
        <v>0.60284764000000002</v>
      </c>
      <c r="AA17" s="295">
        <v>0.60284764000000002</v>
      </c>
      <c r="AB17" s="292">
        <v>3.8009434999999998</v>
      </c>
      <c r="AC17" s="293">
        <v>0</v>
      </c>
      <c r="AD17" s="293">
        <v>0</v>
      </c>
      <c r="AE17" s="295">
        <v>1.0042628</v>
      </c>
      <c r="AF17" s="295">
        <v>1.0042628</v>
      </c>
    </row>
    <row r="18" spans="1:45" ht="19.95" customHeight="1" x14ac:dyDescent="0.3">
      <c r="A18" s="144" t="s">
        <v>332</v>
      </c>
      <c r="B18" s="291" t="s">
        <v>431</v>
      </c>
      <c r="C18" s="292">
        <v>0.95186462000000005</v>
      </c>
      <c r="D18" s="293">
        <v>-0.15971267</v>
      </c>
      <c r="E18" s="293">
        <v>-4.3465658000000004E-3</v>
      </c>
      <c r="F18" s="293">
        <v>7.9340330000000001E-2</v>
      </c>
      <c r="G18" s="293">
        <v>7.9340330000000001E-2</v>
      </c>
      <c r="H18" s="292">
        <v>1.5193665000000001</v>
      </c>
      <c r="I18" s="293">
        <v>-0.15971267</v>
      </c>
      <c r="J18" s="293">
        <v>-4.3465658000000004E-3</v>
      </c>
      <c r="K18" s="293">
        <v>0.10940046</v>
      </c>
      <c r="L18" s="293">
        <v>0.10940046</v>
      </c>
      <c r="M18" s="294">
        <v>1.4882468</v>
      </c>
      <c r="N18" s="293">
        <v>-0.15971267</v>
      </c>
      <c r="O18" s="293">
        <v>-4.3465658000000004E-3</v>
      </c>
      <c r="P18" s="293">
        <v>7.3283254000000006E-2</v>
      </c>
      <c r="Q18" s="293">
        <v>7.3283254000000006E-2</v>
      </c>
      <c r="R18" s="292">
        <v>1.0892195</v>
      </c>
      <c r="S18" s="293">
        <v>-0.15971267</v>
      </c>
      <c r="T18" s="293">
        <v>-4.3465658000000004E-3</v>
      </c>
      <c r="U18" s="293">
        <v>7.3283254000000006E-2</v>
      </c>
      <c r="V18" s="293">
        <v>7.3283254000000006E-2</v>
      </c>
      <c r="W18" s="292">
        <v>1.0892195</v>
      </c>
      <c r="X18" s="293">
        <v>-0.15971267</v>
      </c>
      <c r="Y18" s="293">
        <v>-4.3465658000000004E-3</v>
      </c>
      <c r="Z18" s="295">
        <v>7.3283254000000006E-2</v>
      </c>
      <c r="AA18" s="295">
        <v>7.3283254000000006E-2</v>
      </c>
      <c r="AB18" s="292">
        <v>1.0892195</v>
      </c>
      <c r="AC18" s="293">
        <v>-0.14063443</v>
      </c>
      <c r="AD18" s="293">
        <v>-9.2822962999999994E-3</v>
      </c>
      <c r="AE18" s="295">
        <v>0.10940046</v>
      </c>
      <c r="AF18" s="295">
        <v>0.10940046</v>
      </c>
    </row>
    <row r="19" spans="1:45" ht="19.95" customHeight="1" x14ac:dyDescent="0.3">
      <c r="A19" s="144" t="s">
        <v>432</v>
      </c>
      <c r="B19" s="291" t="s">
        <v>347</v>
      </c>
      <c r="C19" s="292">
        <v>75.504005000000006</v>
      </c>
      <c r="D19" s="293">
        <v>32.439762000000002</v>
      </c>
      <c r="E19" s="293">
        <v>-1.1173516999999999</v>
      </c>
      <c r="F19" s="293">
        <v>2.5370195</v>
      </c>
      <c r="G19" s="293">
        <v>2.5370195</v>
      </c>
      <c r="H19" s="292">
        <v>71.531599999999997</v>
      </c>
      <c r="I19" s="293">
        <v>32.439762000000002</v>
      </c>
      <c r="J19" s="293">
        <v>-1.1173516999999999</v>
      </c>
      <c r="K19" s="293">
        <v>3.9996920999999999</v>
      </c>
      <c r="L19" s="293">
        <v>3.9996920999999999</v>
      </c>
      <c r="M19" s="294">
        <v>76.132881999999995</v>
      </c>
      <c r="N19" s="293">
        <v>32.439762000000002</v>
      </c>
      <c r="O19" s="293">
        <v>-1.1173516999999999</v>
      </c>
      <c r="P19" s="293">
        <v>2.4700552999999998</v>
      </c>
      <c r="Q19" s="293">
        <v>2.4700552999999998</v>
      </c>
      <c r="R19" s="292">
        <v>74.090174000000005</v>
      </c>
      <c r="S19" s="293">
        <v>32.439762000000002</v>
      </c>
      <c r="T19" s="293">
        <v>-1.1173516999999999</v>
      </c>
      <c r="U19" s="293">
        <v>2.4700552999999998</v>
      </c>
      <c r="V19" s="293">
        <v>2.4700552999999998</v>
      </c>
      <c r="W19" s="292">
        <v>74.090174000000005</v>
      </c>
      <c r="X19" s="293">
        <v>32.439762000000002</v>
      </c>
      <c r="Y19" s="293">
        <v>-1.1173516999999999</v>
      </c>
      <c r="Z19" s="295">
        <v>2.4700552999999998</v>
      </c>
      <c r="AA19" s="295">
        <v>2.4700552999999998</v>
      </c>
      <c r="AB19" s="292">
        <v>74.090174000000005</v>
      </c>
      <c r="AC19" s="293">
        <v>-0.63826022000000004</v>
      </c>
      <c r="AD19" s="293">
        <v>-1.1173523999999999</v>
      </c>
      <c r="AE19" s="295">
        <v>3.9996920999999999</v>
      </c>
      <c r="AF19" s="295">
        <v>3.9996920999999999</v>
      </c>
    </row>
    <row r="20" spans="1:45" ht="19.95" customHeight="1" x14ac:dyDescent="0.3">
      <c r="A20" s="144" t="s">
        <v>334</v>
      </c>
      <c r="B20" s="291" t="s">
        <v>348</v>
      </c>
      <c r="C20" s="292">
        <v>1.4055145E-5</v>
      </c>
      <c r="D20" s="293">
        <v>7.4376084999999994E-8</v>
      </c>
      <c r="E20" s="293">
        <v>-5.4718007000000003E-9</v>
      </c>
      <c r="F20" s="293">
        <v>3.7489469000000001E-7</v>
      </c>
      <c r="G20" s="293">
        <v>3.7489469000000001E-7</v>
      </c>
      <c r="H20" s="292">
        <v>3.6591063000000002E-5</v>
      </c>
      <c r="I20" s="293">
        <v>7.4376084999999994E-8</v>
      </c>
      <c r="J20" s="293">
        <v>-5.4718007000000003E-9</v>
      </c>
      <c r="K20" s="293">
        <v>6.6624555999999996E-7</v>
      </c>
      <c r="L20" s="293">
        <v>6.6624555999999996E-7</v>
      </c>
      <c r="M20" s="294">
        <v>1.4619671000000001E-5</v>
      </c>
      <c r="N20" s="293">
        <v>7.4376084999999994E-8</v>
      </c>
      <c r="O20" s="293">
        <v>-5.4718007000000003E-9</v>
      </c>
      <c r="P20" s="293">
        <v>3.7907655999999999E-7</v>
      </c>
      <c r="Q20" s="293">
        <v>3.7907655999999999E-7</v>
      </c>
      <c r="R20" s="292">
        <v>1.4386389999999999E-5</v>
      </c>
      <c r="S20" s="293">
        <v>7.4376084999999994E-8</v>
      </c>
      <c r="T20" s="293">
        <v>-5.4718007000000003E-9</v>
      </c>
      <c r="U20" s="293">
        <v>3.7907655999999999E-7</v>
      </c>
      <c r="V20" s="293">
        <v>3.7907655999999999E-7</v>
      </c>
      <c r="W20" s="292">
        <v>1.4386389999999999E-5</v>
      </c>
      <c r="X20" s="293">
        <v>7.4376084999999994E-8</v>
      </c>
      <c r="Y20" s="293">
        <v>-5.4718007000000003E-9</v>
      </c>
      <c r="Z20" s="295">
        <v>3.7907655999999999E-7</v>
      </c>
      <c r="AA20" s="295">
        <v>3.7907655999999999E-7</v>
      </c>
      <c r="AB20" s="292">
        <v>1.4386389999999999E-5</v>
      </c>
      <c r="AC20" s="293">
        <v>1.1018826999999999E-7</v>
      </c>
      <c r="AD20" s="293">
        <v>-5.4718062999999996E-9</v>
      </c>
      <c r="AE20" s="295">
        <v>6.6624555999999996E-7</v>
      </c>
      <c r="AF20" s="295">
        <v>6.6624555999999996E-7</v>
      </c>
    </row>
    <row r="21" spans="1:45" ht="15" thickBot="1" x14ac:dyDescent="0.35">
      <c r="A21" s="296"/>
      <c r="AR21" s="150"/>
      <c r="AS21" s="150"/>
    </row>
    <row r="22" spans="1:45" ht="27.6" x14ac:dyDescent="0.3">
      <c r="A22" s="298" t="s">
        <v>544</v>
      </c>
      <c r="B22" s="140" t="s">
        <v>401</v>
      </c>
      <c r="C22" s="141" t="s">
        <v>402</v>
      </c>
      <c r="D22" s="141" t="s">
        <v>403</v>
      </c>
      <c r="E22" s="141" t="s">
        <v>404</v>
      </c>
      <c r="F22" s="141" t="s">
        <v>196</v>
      </c>
      <c r="G22" s="141" t="s">
        <v>302</v>
      </c>
      <c r="H22" s="299" t="s">
        <v>303</v>
      </c>
      <c r="I22" s="439" t="s">
        <v>302</v>
      </c>
      <c r="J22" s="439" t="s">
        <v>406</v>
      </c>
      <c r="K22" s="439" t="s">
        <v>407</v>
      </c>
      <c r="L22" s="439" t="s">
        <v>408</v>
      </c>
      <c r="M22" s="439" t="s">
        <v>409</v>
      </c>
      <c r="N22" s="439" t="s">
        <v>410</v>
      </c>
      <c r="O22" s="439" t="s">
        <v>411</v>
      </c>
      <c r="P22" s="439" t="s">
        <v>412</v>
      </c>
      <c r="Q22" s="439" t="s">
        <v>413</v>
      </c>
      <c r="R22" s="439" t="s">
        <v>414</v>
      </c>
      <c r="S22" s="439" t="s">
        <v>415</v>
      </c>
      <c r="T22" s="16"/>
      <c r="U22" s="16"/>
    </row>
    <row r="23" spans="1:45" x14ac:dyDescent="0.3">
      <c r="A23" s="143" t="s">
        <v>327</v>
      </c>
      <c r="B23" s="144" t="s">
        <v>336</v>
      </c>
      <c r="C23" s="145" t="e">
        <f>'DG CFF calcul'!Y7</f>
        <v>#N/A</v>
      </c>
      <c r="D23" s="145" t="e">
        <f>'DG CFF calcul'!Y24</f>
        <v>#N/A</v>
      </c>
      <c r="E23" s="145" t="e">
        <f>'DG CFF calcul'!Y41</f>
        <v>#N/A</v>
      </c>
      <c r="F23" s="145" t="e">
        <f>'DG CFF calcul'!Y58</f>
        <v>#N/A</v>
      </c>
      <c r="G23" s="300" t="e">
        <f>'DG CFF calcul'!Y75</f>
        <v>#N/A</v>
      </c>
      <c r="H23" s="301" t="e">
        <f>'DG CFF calcul'!Y92</f>
        <v>#N/A</v>
      </c>
      <c r="I23" s="441" t="e">
        <f>AVERAGE(C23:H23)</f>
        <v>#N/A</v>
      </c>
      <c r="J23" s="441" t="e">
        <f>I23</f>
        <v>#N/A</v>
      </c>
      <c r="K23" s="441" t="e">
        <f t="shared" ref="K23:S23" si="4">J23</f>
        <v>#N/A</v>
      </c>
      <c r="L23" s="441" t="e">
        <f t="shared" si="4"/>
        <v>#N/A</v>
      </c>
      <c r="M23" s="441" t="e">
        <f t="shared" si="4"/>
        <v>#N/A</v>
      </c>
      <c r="N23" s="441" t="e">
        <f t="shared" si="4"/>
        <v>#N/A</v>
      </c>
      <c r="O23" s="441" t="e">
        <f t="shared" si="4"/>
        <v>#N/A</v>
      </c>
      <c r="P23" s="441" t="e">
        <f t="shared" si="4"/>
        <v>#N/A</v>
      </c>
      <c r="Q23" s="441" t="e">
        <f t="shared" si="4"/>
        <v>#N/A</v>
      </c>
      <c r="R23" s="441" t="e">
        <f t="shared" si="4"/>
        <v>#N/A</v>
      </c>
      <c r="S23" s="441" t="e">
        <f t="shared" si="4"/>
        <v>#N/A</v>
      </c>
      <c r="T23" s="16"/>
      <c r="U23" s="16"/>
    </row>
    <row r="24" spans="1:45" x14ac:dyDescent="0.3">
      <c r="A24" s="147" t="s">
        <v>416</v>
      </c>
      <c r="B24" s="144" t="s">
        <v>417</v>
      </c>
      <c r="C24" s="145" t="e">
        <f>'DG CFF calcul'!Y8</f>
        <v>#N/A</v>
      </c>
      <c r="D24" s="145" t="e">
        <f>'DG CFF calcul'!Y25</f>
        <v>#N/A</v>
      </c>
      <c r="E24" s="145" t="e">
        <f>'DG CFF calcul'!Y42</f>
        <v>#N/A</v>
      </c>
      <c r="F24" s="145">
        <f t="shared" ref="F24:F38" si="5">K6</f>
        <v>1.3179058E-8</v>
      </c>
      <c r="G24" s="300" t="e">
        <f>'DG CFF calcul'!Y76</f>
        <v>#N/A</v>
      </c>
      <c r="H24" s="301" t="e">
        <f>'DG CFF calcul'!Y93</f>
        <v>#N/A</v>
      </c>
      <c r="I24" s="441" t="e">
        <f t="shared" ref="I24:I38" si="6">AVERAGE(C24:H24)</f>
        <v>#N/A</v>
      </c>
      <c r="J24" s="441" t="e">
        <f t="shared" ref="J24:S24" si="7">I24</f>
        <v>#N/A</v>
      </c>
      <c r="K24" s="441" t="e">
        <f t="shared" si="7"/>
        <v>#N/A</v>
      </c>
      <c r="L24" s="441" t="e">
        <f t="shared" si="7"/>
        <v>#N/A</v>
      </c>
      <c r="M24" s="441" t="e">
        <f t="shared" si="7"/>
        <v>#N/A</v>
      </c>
      <c r="N24" s="441" t="e">
        <f t="shared" si="7"/>
        <v>#N/A</v>
      </c>
      <c r="O24" s="441" t="e">
        <f t="shared" si="7"/>
        <v>#N/A</v>
      </c>
      <c r="P24" s="441" t="e">
        <f t="shared" si="7"/>
        <v>#N/A</v>
      </c>
      <c r="Q24" s="441" t="e">
        <f t="shared" si="7"/>
        <v>#N/A</v>
      </c>
      <c r="R24" s="441" t="e">
        <f t="shared" si="7"/>
        <v>#N/A</v>
      </c>
      <c r="S24" s="441" t="e">
        <f t="shared" si="7"/>
        <v>#N/A</v>
      </c>
      <c r="T24" s="16"/>
      <c r="U24" s="16"/>
    </row>
    <row r="25" spans="1:45" x14ac:dyDescent="0.3">
      <c r="A25" s="147" t="s">
        <v>418</v>
      </c>
      <c r="B25" s="144" t="s">
        <v>419</v>
      </c>
      <c r="C25" s="145" t="e">
        <f>'DG CFF calcul'!Y9</f>
        <v>#N/A</v>
      </c>
      <c r="D25" s="145" t="e">
        <f>'DG CFF calcul'!Y26</f>
        <v>#N/A</v>
      </c>
      <c r="E25" s="145" t="e">
        <f>'DG CFF calcul'!Y43</f>
        <v>#N/A</v>
      </c>
      <c r="F25" s="145">
        <f t="shared" si="5"/>
        <v>0.15054982</v>
      </c>
      <c r="G25" s="300" t="e">
        <f>'DG CFF calcul'!Y77</f>
        <v>#N/A</v>
      </c>
      <c r="H25" s="301" t="e">
        <f>'DG CFF calcul'!Y94</f>
        <v>#N/A</v>
      </c>
      <c r="I25" s="441" t="e">
        <f t="shared" si="6"/>
        <v>#N/A</v>
      </c>
      <c r="J25" s="441" t="e">
        <f t="shared" ref="J25:S25" si="8">I25</f>
        <v>#N/A</v>
      </c>
      <c r="K25" s="441" t="e">
        <f t="shared" si="8"/>
        <v>#N/A</v>
      </c>
      <c r="L25" s="441" t="e">
        <f t="shared" si="8"/>
        <v>#N/A</v>
      </c>
      <c r="M25" s="441" t="e">
        <f t="shared" si="8"/>
        <v>#N/A</v>
      </c>
      <c r="N25" s="441" t="e">
        <f t="shared" si="8"/>
        <v>#N/A</v>
      </c>
      <c r="O25" s="441" t="e">
        <f t="shared" si="8"/>
        <v>#N/A</v>
      </c>
      <c r="P25" s="441" t="e">
        <f t="shared" si="8"/>
        <v>#N/A</v>
      </c>
      <c r="Q25" s="441" t="e">
        <f t="shared" si="8"/>
        <v>#N/A</v>
      </c>
      <c r="R25" s="441" t="e">
        <f t="shared" si="8"/>
        <v>#N/A</v>
      </c>
      <c r="S25" s="441" t="e">
        <f t="shared" si="8"/>
        <v>#N/A</v>
      </c>
      <c r="T25" s="16"/>
      <c r="U25" s="16"/>
    </row>
    <row r="26" spans="1:45" x14ac:dyDescent="0.3">
      <c r="A26" s="143" t="s">
        <v>328</v>
      </c>
      <c r="B26" s="144" t="s">
        <v>342</v>
      </c>
      <c r="C26" s="145" t="e">
        <f>'DG CFF calcul'!Y10</f>
        <v>#N/A</v>
      </c>
      <c r="D26" s="145" t="e">
        <f>'DG CFF calcul'!Y27</f>
        <v>#N/A</v>
      </c>
      <c r="E26" s="145" t="e">
        <f>'DG CFF calcul'!Y44</f>
        <v>#N/A</v>
      </c>
      <c r="F26" s="145">
        <f t="shared" si="5"/>
        <v>1.0398085000000001E-3</v>
      </c>
      <c r="G26" s="300" t="e">
        <f>'DG CFF calcul'!Y78</f>
        <v>#N/A</v>
      </c>
      <c r="H26" s="301" t="e">
        <f>'DG CFF calcul'!Y95</f>
        <v>#N/A</v>
      </c>
      <c r="I26" s="441" t="e">
        <f t="shared" si="6"/>
        <v>#N/A</v>
      </c>
      <c r="J26" s="441" t="e">
        <f t="shared" ref="J26:S26" si="9">I26</f>
        <v>#N/A</v>
      </c>
      <c r="K26" s="441" t="e">
        <f t="shared" si="9"/>
        <v>#N/A</v>
      </c>
      <c r="L26" s="441" t="e">
        <f t="shared" si="9"/>
        <v>#N/A</v>
      </c>
      <c r="M26" s="441" t="e">
        <f t="shared" si="9"/>
        <v>#N/A</v>
      </c>
      <c r="N26" s="441" t="e">
        <f t="shared" si="9"/>
        <v>#N/A</v>
      </c>
      <c r="O26" s="441" t="e">
        <f t="shared" si="9"/>
        <v>#N/A</v>
      </c>
      <c r="P26" s="441" t="e">
        <f t="shared" si="9"/>
        <v>#N/A</v>
      </c>
      <c r="Q26" s="441" t="e">
        <f t="shared" si="9"/>
        <v>#N/A</v>
      </c>
      <c r="R26" s="441" t="e">
        <f t="shared" si="9"/>
        <v>#N/A</v>
      </c>
      <c r="S26" s="441" t="e">
        <f t="shared" si="9"/>
        <v>#N/A</v>
      </c>
      <c r="T26" s="16"/>
      <c r="U26" s="16"/>
    </row>
    <row r="27" spans="1:45" x14ac:dyDescent="0.3">
      <c r="A27" s="147" t="s">
        <v>329</v>
      </c>
      <c r="B27" s="144" t="s">
        <v>343</v>
      </c>
      <c r="C27" s="145" t="e">
        <f>'DG CFF calcul'!Y11</f>
        <v>#N/A</v>
      </c>
      <c r="D27" s="145" t="e">
        <f>'DG CFF calcul'!Y28</f>
        <v>#N/A</v>
      </c>
      <c r="E27" s="145" t="e">
        <f>'DG CFF calcul'!Y45</f>
        <v>#N/A</v>
      </c>
      <c r="F27" s="145">
        <f t="shared" si="5"/>
        <v>8.0780695000000003E-9</v>
      </c>
      <c r="G27" s="300" t="e">
        <f>'DG CFF calcul'!Y79</f>
        <v>#N/A</v>
      </c>
      <c r="H27" s="301" t="e">
        <f>'DG CFF calcul'!Y96</f>
        <v>#N/A</v>
      </c>
      <c r="I27" s="441" t="e">
        <f t="shared" si="6"/>
        <v>#N/A</v>
      </c>
      <c r="J27" s="441" t="e">
        <f t="shared" ref="J27:S27" si="10">I27</f>
        <v>#N/A</v>
      </c>
      <c r="K27" s="441" t="e">
        <f t="shared" si="10"/>
        <v>#N/A</v>
      </c>
      <c r="L27" s="441" t="e">
        <f t="shared" si="10"/>
        <v>#N/A</v>
      </c>
      <c r="M27" s="441" t="e">
        <f t="shared" si="10"/>
        <v>#N/A</v>
      </c>
      <c r="N27" s="441" t="e">
        <f t="shared" si="10"/>
        <v>#N/A</v>
      </c>
      <c r="O27" s="441" t="e">
        <f t="shared" si="10"/>
        <v>#N/A</v>
      </c>
      <c r="P27" s="441" t="e">
        <f t="shared" si="10"/>
        <v>#N/A</v>
      </c>
      <c r="Q27" s="441" t="e">
        <f t="shared" si="10"/>
        <v>#N/A</v>
      </c>
      <c r="R27" s="441" t="e">
        <f t="shared" si="10"/>
        <v>#N/A</v>
      </c>
      <c r="S27" s="441" t="e">
        <f t="shared" si="10"/>
        <v>#N/A</v>
      </c>
      <c r="T27" s="16"/>
      <c r="U27" s="16"/>
    </row>
    <row r="28" spans="1:45" x14ac:dyDescent="0.3">
      <c r="A28" s="147" t="s">
        <v>420</v>
      </c>
      <c r="B28" s="144" t="s">
        <v>421</v>
      </c>
      <c r="C28" s="145" t="e">
        <f>'DG CFF calcul'!Y12</f>
        <v>#N/A</v>
      </c>
      <c r="D28" s="145" t="e">
        <f>'DG CFF calcul'!Y29</f>
        <v>#N/A</v>
      </c>
      <c r="E28" s="145" t="e">
        <f>'DG CFF calcul'!Y46</f>
        <v>#N/A</v>
      </c>
      <c r="F28" s="145">
        <f t="shared" si="5"/>
        <v>2.2478817E-9</v>
      </c>
      <c r="G28" s="300" t="e">
        <f>'DG CFF calcul'!Y80</f>
        <v>#N/A</v>
      </c>
      <c r="H28" s="301" t="e">
        <f>'DG CFF calcul'!Y97</f>
        <v>#N/A</v>
      </c>
      <c r="I28" s="441" t="e">
        <f t="shared" si="6"/>
        <v>#N/A</v>
      </c>
      <c r="J28" s="441" t="e">
        <f t="shared" ref="J28:S28" si="11">I28</f>
        <v>#N/A</v>
      </c>
      <c r="K28" s="441" t="e">
        <f t="shared" si="11"/>
        <v>#N/A</v>
      </c>
      <c r="L28" s="441" t="e">
        <f t="shared" si="11"/>
        <v>#N/A</v>
      </c>
      <c r="M28" s="441" t="e">
        <f t="shared" si="11"/>
        <v>#N/A</v>
      </c>
      <c r="N28" s="441" t="e">
        <f t="shared" si="11"/>
        <v>#N/A</v>
      </c>
      <c r="O28" s="441" t="e">
        <f t="shared" si="11"/>
        <v>#N/A</v>
      </c>
      <c r="P28" s="441" t="e">
        <f t="shared" si="11"/>
        <v>#N/A</v>
      </c>
      <c r="Q28" s="441" t="e">
        <f t="shared" si="11"/>
        <v>#N/A</v>
      </c>
      <c r="R28" s="441" t="e">
        <f t="shared" si="11"/>
        <v>#N/A</v>
      </c>
      <c r="S28" s="441" t="e">
        <f t="shared" si="11"/>
        <v>#N/A</v>
      </c>
      <c r="T28" s="16"/>
      <c r="U28" s="16"/>
    </row>
    <row r="29" spans="1:45" x14ac:dyDescent="0.3">
      <c r="A29" s="147" t="s">
        <v>422</v>
      </c>
      <c r="B29" s="144" t="s">
        <v>421</v>
      </c>
      <c r="C29" s="145" t="e">
        <f>'DG CFF calcul'!Y13</f>
        <v>#N/A</v>
      </c>
      <c r="D29" s="145" t="e">
        <f>'DG CFF calcul'!Y30</f>
        <v>#N/A</v>
      </c>
      <c r="E29" s="145" t="e">
        <f>'DG CFF calcul'!Y47</f>
        <v>#N/A</v>
      </c>
      <c r="F29" s="145">
        <f t="shared" si="5"/>
        <v>9.9302582000000002E-10</v>
      </c>
      <c r="G29" s="300" t="e">
        <f>'DG CFF calcul'!Y81</f>
        <v>#N/A</v>
      </c>
      <c r="H29" s="301" t="e">
        <f>'DG CFF calcul'!Y98</f>
        <v>#N/A</v>
      </c>
      <c r="I29" s="441" t="e">
        <f t="shared" si="6"/>
        <v>#N/A</v>
      </c>
      <c r="J29" s="441" t="e">
        <f t="shared" ref="J29:S29" si="12">I29</f>
        <v>#N/A</v>
      </c>
      <c r="K29" s="441" t="e">
        <f t="shared" si="12"/>
        <v>#N/A</v>
      </c>
      <c r="L29" s="441" t="e">
        <f t="shared" si="12"/>
        <v>#N/A</v>
      </c>
      <c r="M29" s="441" t="e">
        <f t="shared" si="12"/>
        <v>#N/A</v>
      </c>
      <c r="N29" s="441" t="e">
        <f t="shared" si="12"/>
        <v>#N/A</v>
      </c>
      <c r="O29" s="441" t="e">
        <f t="shared" si="12"/>
        <v>#N/A</v>
      </c>
      <c r="P29" s="441" t="e">
        <f t="shared" si="12"/>
        <v>#N/A</v>
      </c>
      <c r="Q29" s="441" t="e">
        <f t="shared" si="12"/>
        <v>#N/A</v>
      </c>
      <c r="R29" s="441" t="e">
        <f t="shared" si="12"/>
        <v>#N/A</v>
      </c>
      <c r="S29" s="441" t="e">
        <f t="shared" si="12"/>
        <v>#N/A</v>
      </c>
      <c r="T29" s="16"/>
      <c r="U29" s="16"/>
    </row>
    <row r="30" spans="1:45" x14ac:dyDescent="0.3">
      <c r="A30" s="147" t="s">
        <v>330</v>
      </c>
      <c r="B30" s="144" t="s">
        <v>344</v>
      </c>
      <c r="C30" s="145" t="e">
        <f>'DG CFF calcul'!Y14</f>
        <v>#N/A</v>
      </c>
      <c r="D30" s="145" t="e">
        <f>'DG CFF calcul'!Y31</f>
        <v>#N/A</v>
      </c>
      <c r="E30" s="145" t="e">
        <f>'DG CFF calcul'!Y48</f>
        <v>#N/A</v>
      </c>
      <c r="F30" s="145">
        <f t="shared" si="5"/>
        <v>1.4264174000000001E-3</v>
      </c>
      <c r="G30" s="300" t="e">
        <f>'DG CFF calcul'!Y82</f>
        <v>#N/A</v>
      </c>
      <c r="H30" s="301" t="e">
        <f>'DG CFF calcul'!Y99</f>
        <v>#N/A</v>
      </c>
      <c r="I30" s="441" t="e">
        <f t="shared" si="6"/>
        <v>#N/A</v>
      </c>
      <c r="J30" s="441" t="e">
        <f t="shared" ref="J30:S30" si="13">I30</f>
        <v>#N/A</v>
      </c>
      <c r="K30" s="441" t="e">
        <f t="shared" si="13"/>
        <v>#N/A</v>
      </c>
      <c r="L30" s="441" t="e">
        <f t="shared" si="13"/>
        <v>#N/A</v>
      </c>
      <c r="M30" s="441" t="e">
        <f t="shared" si="13"/>
        <v>#N/A</v>
      </c>
      <c r="N30" s="441" t="e">
        <f t="shared" si="13"/>
        <v>#N/A</v>
      </c>
      <c r="O30" s="441" t="e">
        <f t="shared" si="13"/>
        <v>#N/A</v>
      </c>
      <c r="P30" s="441" t="e">
        <f t="shared" si="13"/>
        <v>#N/A</v>
      </c>
      <c r="Q30" s="441" t="e">
        <f t="shared" si="13"/>
        <v>#N/A</v>
      </c>
      <c r="R30" s="441" t="e">
        <f t="shared" si="13"/>
        <v>#N/A</v>
      </c>
      <c r="S30" s="441" t="e">
        <f t="shared" si="13"/>
        <v>#N/A</v>
      </c>
      <c r="T30" s="16"/>
      <c r="U30" s="16"/>
    </row>
    <row r="31" spans="1:45" x14ac:dyDescent="0.3">
      <c r="A31" s="147" t="s">
        <v>331</v>
      </c>
      <c r="B31" s="144" t="s">
        <v>345</v>
      </c>
      <c r="C31" s="145" t="e">
        <f>'DG CFF calcul'!Y15</f>
        <v>#N/A</v>
      </c>
      <c r="D31" s="145" t="e">
        <f>'DG CFF calcul'!Y32</f>
        <v>#N/A</v>
      </c>
      <c r="E31" s="145" t="e">
        <f>'DG CFF calcul'!Y49</f>
        <v>#N/A</v>
      </c>
      <c r="F31" s="145">
        <f t="shared" si="5"/>
        <v>2.0966746999999999E-4</v>
      </c>
      <c r="G31" s="300" t="e">
        <f>'DG CFF calcul'!Y83</f>
        <v>#N/A</v>
      </c>
      <c r="H31" s="301" t="e">
        <f>'DG CFF calcul'!Y100</f>
        <v>#N/A</v>
      </c>
      <c r="I31" s="441" t="e">
        <f t="shared" si="6"/>
        <v>#N/A</v>
      </c>
      <c r="J31" s="441" t="e">
        <f t="shared" ref="J31:S31" si="14">I31</f>
        <v>#N/A</v>
      </c>
      <c r="K31" s="441" t="e">
        <f t="shared" si="14"/>
        <v>#N/A</v>
      </c>
      <c r="L31" s="441" t="e">
        <f t="shared" si="14"/>
        <v>#N/A</v>
      </c>
      <c r="M31" s="441" t="e">
        <f t="shared" si="14"/>
        <v>#N/A</v>
      </c>
      <c r="N31" s="441" t="e">
        <f t="shared" si="14"/>
        <v>#N/A</v>
      </c>
      <c r="O31" s="441" t="e">
        <f t="shared" si="14"/>
        <v>#N/A</v>
      </c>
      <c r="P31" s="441" t="e">
        <f t="shared" si="14"/>
        <v>#N/A</v>
      </c>
      <c r="Q31" s="441" t="e">
        <f t="shared" si="14"/>
        <v>#N/A</v>
      </c>
      <c r="R31" s="441" t="e">
        <f t="shared" si="14"/>
        <v>#N/A</v>
      </c>
      <c r="S31" s="441" t="e">
        <f t="shared" si="14"/>
        <v>#N/A</v>
      </c>
      <c r="T31" s="16"/>
      <c r="U31" s="16"/>
    </row>
    <row r="32" spans="1:45" x14ac:dyDescent="0.3">
      <c r="A32" s="147" t="s">
        <v>423</v>
      </c>
      <c r="B32" s="144" t="s">
        <v>424</v>
      </c>
      <c r="C32" s="145" t="e">
        <f>'DG CFF calcul'!Y16</f>
        <v>#N/A</v>
      </c>
      <c r="D32" s="145" t="e">
        <f>'DG CFF calcul'!Y33</f>
        <v>#N/A</v>
      </c>
      <c r="E32" s="145" t="e">
        <f>'DG CFF calcul'!Y50</f>
        <v>#N/A</v>
      </c>
      <c r="F32" s="145">
        <f t="shared" si="5"/>
        <v>2.7980700999999999E-4</v>
      </c>
      <c r="G32" s="300" t="e">
        <f>'DG CFF calcul'!Y84</f>
        <v>#N/A</v>
      </c>
      <c r="H32" s="301" t="e">
        <f>'DG CFF calcul'!Y101</f>
        <v>#N/A</v>
      </c>
      <c r="I32" s="441" t="e">
        <f t="shared" si="6"/>
        <v>#N/A</v>
      </c>
      <c r="J32" s="441" t="e">
        <f t="shared" ref="J32:S32" si="15">I32</f>
        <v>#N/A</v>
      </c>
      <c r="K32" s="441" t="e">
        <f t="shared" si="15"/>
        <v>#N/A</v>
      </c>
      <c r="L32" s="441" t="e">
        <f t="shared" si="15"/>
        <v>#N/A</v>
      </c>
      <c r="M32" s="441" t="e">
        <f t="shared" si="15"/>
        <v>#N/A</v>
      </c>
      <c r="N32" s="441" t="e">
        <f t="shared" si="15"/>
        <v>#N/A</v>
      </c>
      <c r="O32" s="441" t="e">
        <f t="shared" si="15"/>
        <v>#N/A</v>
      </c>
      <c r="P32" s="441" t="e">
        <f t="shared" si="15"/>
        <v>#N/A</v>
      </c>
      <c r="Q32" s="441" t="e">
        <f t="shared" si="15"/>
        <v>#N/A</v>
      </c>
      <c r="R32" s="441" t="e">
        <f t="shared" si="15"/>
        <v>#N/A</v>
      </c>
      <c r="S32" s="441" t="e">
        <f t="shared" si="15"/>
        <v>#N/A</v>
      </c>
      <c r="T32" s="16"/>
      <c r="U32" s="16"/>
    </row>
    <row r="33" spans="1:21" x14ac:dyDescent="0.3">
      <c r="A33" s="147" t="s">
        <v>425</v>
      </c>
      <c r="B33" s="144" t="s">
        <v>426</v>
      </c>
      <c r="C33" s="145" t="e">
        <f>'DG CFF calcul'!Y17</f>
        <v>#N/A</v>
      </c>
      <c r="D33" s="145" t="e">
        <f>'DG CFF calcul'!Y34</f>
        <v>#N/A</v>
      </c>
      <c r="E33" s="145" t="e">
        <f>'DG CFF calcul'!Y51</f>
        <v>#N/A</v>
      </c>
      <c r="F33" s="145">
        <f t="shared" si="5"/>
        <v>2.5822542E-3</v>
      </c>
      <c r="G33" s="300" t="e">
        <f>'DG CFF calcul'!Y85</f>
        <v>#N/A</v>
      </c>
      <c r="H33" s="301" t="e">
        <f>'DG CFF calcul'!Y102</f>
        <v>#N/A</v>
      </c>
      <c r="I33" s="441" t="e">
        <f t="shared" si="6"/>
        <v>#N/A</v>
      </c>
      <c r="J33" s="441" t="e">
        <f t="shared" ref="J33:S33" si="16">I33</f>
        <v>#N/A</v>
      </c>
      <c r="K33" s="441" t="e">
        <f t="shared" si="16"/>
        <v>#N/A</v>
      </c>
      <c r="L33" s="441" t="e">
        <f t="shared" si="16"/>
        <v>#N/A</v>
      </c>
      <c r="M33" s="441" t="e">
        <f t="shared" si="16"/>
        <v>#N/A</v>
      </c>
      <c r="N33" s="441" t="e">
        <f t="shared" si="16"/>
        <v>#N/A</v>
      </c>
      <c r="O33" s="441" t="e">
        <f t="shared" si="16"/>
        <v>#N/A</v>
      </c>
      <c r="P33" s="441" t="e">
        <f t="shared" si="16"/>
        <v>#N/A</v>
      </c>
      <c r="Q33" s="441" t="e">
        <f t="shared" si="16"/>
        <v>#N/A</v>
      </c>
      <c r="R33" s="441" t="e">
        <f t="shared" si="16"/>
        <v>#N/A</v>
      </c>
      <c r="S33" s="441" t="e">
        <f t="shared" si="16"/>
        <v>#N/A</v>
      </c>
      <c r="T33" s="16"/>
      <c r="U33" s="16"/>
    </row>
    <row r="34" spans="1:21" x14ac:dyDescent="0.3">
      <c r="A34" s="147" t="s">
        <v>427</v>
      </c>
      <c r="B34" s="144" t="s">
        <v>428</v>
      </c>
      <c r="C34" s="145" t="e">
        <f>'DG CFF calcul'!Y18</f>
        <v>#N/A</v>
      </c>
      <c r="D34" s="145" t="e">
        <f>'DG CFF calcul'!Y35</f>
        <v>#N/A</v>
      </c>
      <c r="E34" s="145" t="e">
        <f>'DG CFF calcul'!Y52</f>
        <v>#N/A</v>
      </c>
      <c r="F34" s="145">
        <f t="shared" si="5"/>
        <v>2.86206121E-3</v>
      </c>
      <c r="G34" s="300" t="e">
        <f>'DG CFF calcul'!Y86</f>
        <v>#N/A</v>
      </c>
      <c r="H34" s="301" t="e">
        <f>'DG CFF calcul'!Y103</f>
        <v>#N/A</v>
      </c>
      <c r="I34" s="441" t="e">
        <f t="shared" si="6"/>
        <v>#N/A</v>
      </c>
      <c r="J34" s="441" t="e">
        <f t="shared" ref="J34:S34" si="17">I34</f>
        <v>#N/A</v>
      </c>
      <c r="K34" s="441" t="e">
        <f t="shared" si="17"/>
        <v>#N/A</v>
      </c>
      <c r="L34" s="441" t="e">
        <f t="shared" si="17"/>
        <v>#N/A</v>
      </c>
      <c r="M34" s="441" t="e">
        <f t="shared" si="17"/>
        <v>#N/A</v>
      </c>
      <c r="N34" s="441" t="e">
        <f t="shared" si="17"/>
        <v>#N/A</v>
      </c>
      <c r="O34" s="441" t="e">
        <f t="shared" si="17"/>
        <v>#N/A</v>
      </c>
      <c r="P34" s="441" t="e">
        <f t="shared" si="17"/>
        <v>#N/A</v>
      </c>
      <c r="Q34" s="441" t="e">
        <f t="shared" si="17"/>
        <v>#N/A</v>
      </c>
      <c r="R34" s="441" t="e">
        <f t="shared" si="17"/>
        <v>#N/A</v>
      </c>
      <c r="S34" s="441" t="e">
        <f t="shared" si="17"/>
        <v>#N/A</v>
      </c>
      <c r="T34" s="16"/>
      <c r="U34" s="16"/>
    </row>
    <row r="35" spans="1:21" x14ac:dyDescent="0.3">
      <c r="A35" s="147" t="s">
        <v>429</v>
      </c>
      <c r="B35" s="144" t="s">
        <v>430</v>
      </c>
      <c r="C35" s="145" t="e">
        <f>'DG CFF calcul'!Y19</f>
        <v>#N/A</v>
      </c>
      <c r="D35" s="145" t="e">
        <f>'DG CFF calcul'!Y36</f>
        <v>#N/A</v>
      </c>
      <c r="E35" s="145" t="e">
        <f>'DG CFF calcul'!Y53</f>
        <v>#N/A</v>
      </c>
      <c r="F35" s="145">
        <f t="shared" si="5"/>
        <v>1.0042628</v>
      </c>
      <c r="G35" s="300" t="e">
        <f>'DG CFF calcul'!Y87</f>
        <v>#N/A</v>
      </c>
      <c r="H35" s="301" t="e">
        <f>'DG CFF calcul'!Y104</f>
        <v>#N/A</v>
      </c>
      <c r="I35" s="441" t="e">
        <f t="shared" si="6"/>
        <v>#N/A</v>
      </c>
      <c r="J35" s="441" t="e">
        <f t="shared" ref="J35:S35" si="18">I35</f>
        <v>#N/A</v>
      </c>
      <c r="K35" s="441" t="e">
        <f t="shared" si="18"/>
        <v>#N/A</v>
      </c>
      <c r="L35" s="441" t="e">
        <f t="shared" si="18"/>
        <v>#N/A</v>
      </c>
      <c r="M35" s="441" t="e">
        <f t="shared" si="18"/>
        <v>#N/A</v>
      </c>
      <c r="N35" s="441" t="e">
        <f t="shared" si="18"/>
        <v>#N/A</v>
      </c>
      <c r="O35" s="441" t="e">
        <f t="shared" si="18"/>
        <v>#N/A</v>
      </c>
      <c r="P35" s="441" t="e">
        <f t="shared" si="18"/>
        <v>#N/A</v>
      </c>
      <c r="Q35" s="441" t="e">
        <f t="shared" si="18"/>
        <v>#N/A</v>
      </c>
      <c r="R35" s="441" t="e">
        <f t="shared" si="18"/>
        <v>#N/A</v>
      </c>
      <c r="S35" s="441" t="e">
        <f t="shared" si="18"/>
        <v>#N/A</v>
      </c>
      <c r="T35" s="16"/>
      <c r="U35" s="16"/>
    </row>
    <row r="36" spans="1:21" x14ac:dyDescent="0.3">
      <c r="A36" s="147" t="s">
        <v>332</v>
      </c>
      <c r="B36" s="144" t="s">
        <v>431</v>
      </c>
      <c r="C36" s="145" t="e">
        <f>'DG CFF calcul'!Y20</f>
        <v>#N/A</v>
      </c>
      <c r="D36" s="145" t="e">
        <f>'DG CFF calcul'!Y37</f>
        <v>#N/A</v>
      </c>
      <c r="E36" s="145" t="e">
        <f>'DG CFF calcul'!Y54</f>
        <v>#N/A</v>
      </c>
      <c r="F36" s="145">
        <f t="shared" si="5"/>
        <v>0.10940046</v>
      </c>
      <c r="G36" s="300" t="e">
        <f>'DG CFF calcul'!Y88</f>
        <v>#N/A</v>
      </c>
      <c r="H36" s="301" t="e">
        <f>'DG CFF calcul'!Y105</f>
        <v>#N/A</v>
      </c>
      <c r="I36" s="441" t="e">
        <f t="shared" si="6"/>
        <v>#N/A</v>
      </c>
      <c r="J36" s="441" t="e">
        <f t="shared" ref="J36:S36" si="19">I36</f>
        <v>#N/A</v>
      </c>
      <c r="K36" s="441" t="e">
        <f t="shared" si="19"/>
        <v>#N/A</v>
      </c>
      <c r="L36" s="441" t="e">
        <f t="shared" si="19"/>
        <v>#N/A</v>
      </c>
      <c r="M36" s="441" t="e">
        <f t="shared" si="19"/>
        <v>#N/A</v>
      </c>
      <c r="N36" s="441" t="e">
        <f t="shared" si="19"/>
        <v>#N/A</v>
      </c>
      <c r="O36" s="441" t="e">
        <f t="shared" si="19"/>
        <v>#N/A</v>
      </c>
      <c r="P36" s="441" t="e">
        <f t="shared" si="19"/>
        <v>#N/A</v>
      </c>
      <c r="Q36" s="441" t="e">
        <f t="shared" si="19"/>
        <v>#N/A</v>
      </c>
      <c r="R36" s="441" t="e">
        <f t="shared" si="19"/>
        <v>#N/A</v>
      </c>
      <c r="S36" s="441" t="e">
        <f t="shared" si="19"/>
        <v>#N/A</v>
      </c>
      <c r="T36" s="16"/>
      <c r="U36" s="16"/>
    </row>
    <row r="37" spans="1:21" x14ac:dyDescent="0.3">
      <c r="A37" s="147" t="s">
        <v>432</v>
      </c>
      <c r="B37" s="144" t="s">
        <v>347</v>
      </c>
      <c r="C37" s="145" t="e">
        <f>'DG CFF calcul'!Y21</f>
        <v>#N/A</v>
      </c>
      <c r="D37" s="145" t="e">
        <f>'DG CFF calcul'!Y38</f>
        <v>#N/A</v>
      </c>
      <c r="E37" s="145" t="e">
        <f>'DG CFF calcul'!Y55</f>
        <v>#N/A</v>
      </c>
      <c r="F37" s="145">
        <f t="shared" si="5"/>
        <v>3.9996920999999999</v>
      </c>
      <c r="G37" s="300" t="e">
        <f>'DG CFF calcul'!Y89</f>
        <v>#N/A</v>
      </c>
      <c r="H37" s="301" t="e">
        <f>'DG CFF calcul'!Y106</f>
        <v>#N/A</v>
      </c>
      <c r="I37" s="441" t="e">
        <f t="shared" si="6"/>
        <v>#N/A</v>
      </c>
      <c r="J37" s="441" t="e">
        <f t="shared" ref="J37:S37" si="20">I37</f>
        <v>#N/A</v>
      </c>
      <c r="K37" s="441" t="e">
        <f t="shared" si="20"/>
        <v>#N/A</v>
      </c>
      <c r="L37" s="441" t="e">
        <f t="shared" si="20"/>
        <v>#N/A</v>
      </c>
      <c r="M37" s="441" t="e">
        <f t="shared" si="20"/>
        <v>#N/A</v>
      </c>
      <c r="N37" s="441" t="e">
        <f t="shared" si="20"/>
        <v>#N/A</v>
      </c>
      <c r="O37" s="441" t="e">
        <f t="shared" si="20"/>
        <v>#N/A</v>
      </c>
      <c r="P37" s="441" t="e">
        <f t="shared" si="20"/>
        <v>#N/A</v>
      </c>
      <c r="Q37" s="441" t="e">
        <f t="shared" si="20"/>
        <v>#N/A</v>
      </c>
      <c r="R37" s="441" t="e">
        <f t="shared" si="20"/>
        <v>#N/A</v>
      </c>
      <c r="S37" s="441" t="e">
        <f t="shared" si="20"/>
        <v>#N/A</v>
      </c>
      <c r="T37" s="16"/>
      <c r="U37" s="16"/>
    </row>
    <row r="38" spans="1:21" x14ac:dyDescent="0.3">
      <c r="A38" s="147" t="s">
        <v>334</v>
      </c>
      <c r="B38" s="144" t="s">
        <v>348</v>
      </c>
      <c r="C38" s="145" t="e">
        <f>'DG CFF calcul'!Y22</f>
        <v>#N/A</v>
      </c>
      <c r="D38" s="145" t="e">
        <f>'DG CFF calcul'!Y39</f>
        <v>#N/A</v>
      </c>
      <c r="E38" s="145" t="e">
        <f>'DG CFF calcul'!Y56</f>
        <v>#N/A</v>
      </c>
      <c r="F38" s="145">
        <f t="shared" si="5"/>
        <v>6.6624555999999996E-7</v>
      </c>
      <c r="G38" s="300" t="e">
        <f>'DG CFF calcul'!Y90</f>
        <v>#N/A</v>
      </c>
      <c r="H38" s="301" t="e">
        <f>'DG CFF calcul'!Y107</f>
        <v>#N/A</v>
      </c>
      <c r="I38" s="441" t="e">
        <f t="shared" si="6"/>
        <v>#N/A</v>
      </c>
      <c r="J38" s="441" t="e">
        <f t="shared" ref="J38:S38" si="21">I38</f>
        <v>#N/A</v>
      </c>
      <c r="K38" s="441" t="e">
        <f t="shared" si="21"/>
        <v>#N/A</v>
      </c>
      <c r="L38" s="441" t="e">
        <f t="shared" si="21"/>
        <v>#N/A</v>
      </c>
      <c r="M38" s="441" t="e">
        <f t="shared" si="21"/>
        <v>#N/A</v>
      </c>
      <c r="N38" s="441" t="e">
        <f t="shared" si="21"/>
        <v>#N/A</v>
      </c>
      <c r="O38" s="441" t="e">
        <f t="shared" si="21"/>
        <v>#N/A</v>
      </c>
      <c r="P38" s="441" t="e">
        <f t="shared" si="21"/>
        <v>#N/A</v>
      </c>
      <c r="Q38" s="441" t="e">
        <f t="shared" si="21"/>
        <v>#N/A</v>
      </c>
      <c r="R38" s="441" t="e">
        <f t="shared" si="21"/>
        <v>#N/A</v>
      </c>
      <c r="S38" s="441" t="e">
        <f t="shared" si="21"/>
        <v>#N/A</v>
      </c>
      <c r="T38" s="16"/>
      <c r="U38" s="16"/>
    </row>
    <row r="39" spans="1:21" ht="15" thickBot="1" x14ac:dyDescent="0.35">
      <c r="M39" s="303"/>
      <c r="N39" s="303"/>
      <c r="O39" s="303"/>
      <c r="P39" s="303"/>
      <c r="T39" s="16"/>
      <c r="U39" s="16"/>
    </row>
    <row r="40" spans="1:21" ht="28.8" x14ac:dyDescent="0.3">
      <c r="A40" s="304" t="s">
        <v>545</v>
      </c>
      <c r="B40" s="140" t="s">
        <v>401</v>
      </c>
      <c r="C40" s="141" t="s">
        <v>402</v>
      </c>
      <c r="D40" s="141" t="s">
        <v>403</v>
      </c>
      <c r="E40" s="141" t="s">
        <v>404</v>
      </c>
      <c r="F40" s="141" t="s">
        <v>196</v>
      </c>
      <c r="G40" s="141" t="s">
        <v>302</v>
      </c>
      <c r="H40" s="299" t="s">
        <v>303</v>
      </c>
      <c r="I40" s="439" t="s">
        <v>302</v>
      </c>
      <c r="J40" s="439" t="s">
        <v>406</v>
      </c>
      <c r="K40" s="439" t="s">
        <v>407</v>
      </c>
      <c r="L40" s="439" t="s">
        <v>408</v>
      </c>
      <c r="M40" s="439" t="s">
        <v>409</v>
      </c>
      <c r="N40" s="439" t="s">
        <v>410</v>
      </c>
      <c r="O40" s="439" t="s">
        <v>411</v>
      </c>
      <c r="P40" s="439" t="s">
        <v>412</v>
      </c>
      <c r="Q40" s="439" t="s">
        <v>413</v>
      </c>
      <c r="R40" s="439" t="s">
        <v>414</v>
      </c>
      <c r="S40" s="439" t="s">
        <v>415</v>
      </c>
      <c r="T40" s="16"/>
      <c r="U40" s="16"/>
    </row>
    <row r="41" spans="1:21" x14ac:dyDescent="0.3">
      <c r="A41" s="143" t="s">
        <v>327</v>
      </c>
      <c r="B41" s="144" t="s">
        <v>336</v>
      </c>
      <c r="C41" s="300">
        <f t="shared" ref="C41:C56" si="22">M5</f>
        <v>3.9928648</v>
      </c>
      <c r="D41" s="145">
        <f t="shared" ref="D41:D56" si="23">C5</f>
        <v>3.5858192999999998</v>
      </c>
      <c r="E41" s="305">
        <f t="shared" ref="E41:E56" si="24">M5</f>
        <v>3.9928648</v>
      </c>
      <c r="F41" s="300">
        <f t="shared" ref="F41:F56" si="25">K5</f>
        <v>0.42751919999999999</v>
      </c>
      <c r="G41" s="300">
        <f>W5</f>
        <v>3.8275326999999999</v>
      </c>
      <c r="H41" s="301">
        <f>AB5</f>
        <v>3.8275326999999999</v>
      </c>
      <c r="I41" s="441">
        <f>AVERAGE(C41:H41)</f>
        <v>3.2756889166666667</v>
      </c>
      <c r="J41" s="441">
        <f>I41</f>
        <v>3.2756889166666667</v>
      </c>
      <c r="K41" s="441">
        <f t="shared" ref="K41:S41" si="26">J41</f>
        <v>3.2756889166666667</v>
      </c>
      <c r="L41" s="441">
        <f t="shared" si="26"/>
        <v>3.2756889166666667</v>
      </c>
      <c r="M41" s="441">
        <f t="shared" si="26"/>
        <v>3.2756889166666667</v>
      </c>
      <c r="N41" s="441">
        <f t="shared" si="26"/>
        <v>3.2756889166666667</v>
      </c>
      <c r="O41" s="441">
        <f t="shared" si="26"/>
        <v>3.2756889166666667</v>
      </c>
      <c r="P41" s="441">
        <f t="shared" si="26"/>
        <v>3.2756889166666667</v>
      </c>
      <c r="Q41" s="441">
        <f t="shared" si="26"/>
        <v>3.2756889166666667</v>
      </c>
      <c r="R41" s="441">
        <f t="shared" si="26"/>
        <v>3.2756889166666667</v>
      </c>
      <c r="S41" s="441">
        <f t="shared" si="26"/>
        <v>3.2756889166666667</v>
      </c>
      <c r="T41" s="16"/>
      <c r="U41" s="16"/>
    </row>
    <row r="42" spans="1:21" x14ac:dyDescent="0.3">
      <c r="A42" s="147" t="s">
        <v>416</v>
      </c>
      <c r="B42" s="144" t="s">
        <v>417</v>
      </c>
      <c r="C42" s="300">
        <f t="shared" si="22"/>
        <v>5.4448147000000003E-8</v>
      </c>
      <c r="D42" s="145">
        <f t="shared" si="23"/>
        <v>4.6498114E-8</v>
      </c>
      <c r="E42" s="305">
        <f t="shared" si="24"/>
        <v>5.4448147000000003E-8</v>
      </c>
      <c r="F42" s="300">
        <f t="shared" si="25"/>
        <v>1.3179058E-8</v>
      </c>
      <c r="G42" s="300">
        <f t="shared" ref="G42:G56" si="27">W6</f>
        <v>6.0616397000000002E-8</v>
      </c>
      <c r="H42" s="301">
        <f t="shared" ref="H42:H56" si="28">AB6</f>
        <v>6.0616397000000002E-8</v>
      </c>
      <c r="I42" s="441">
        <f t="shared" ref="I42:I56" si="29">AVERAGE(C42:H42)</f>
        <v>4.8301043333333333E-8</v>
      </c>
      <c r="J42" s="441">
        <f t="shared" ref="J42:S42" si="30">I42</f>
        <v>4.8301043333333333E-8</v>
      </c>
      <c r="K42" s="441">
        <f t="shared" si="30"/>
        <v>4.8301043333333333E-8</v>
      </c>
      <c r="L42" s="441">
        <f t="shared" si="30"/>
        <v>4.8301043333333333E-8</v>
      </c>
      <c r="M42" s="441">
        <f t="shared" si="30"/>
        <v>4.8301043333333333E-8</v>
      </c>
      <c r="N42" s="441">
        <f t="shared" si="30"/>
        <v>4.8301043333333333E-8</v>
      </c>
      <c r="O42" s="441">
        <f t="shared" si="30"/>
        <v>4.8301043333333333E-8</v>
      </c>
      <c r="P42" s="441">
        <f t="shared" si="30"/>
        <v>4.8301043333333333E-8</v>
      </c>
      <c r="Q42" s="441">
        <f t="shared" si="30"/>
        <v>4.8301043333333333E-8</v>
      </c>
      <c r="R42" s="441">
        <f t="shared" si="30"/>
        <v>4.8301043333333333E-8</v>
      </c>
      <c r="S42" s="441">
        <f t="shared" si="30"/>
        <v>4.8301043333333333E-8</v>
      </c>
      <c r="T42" s="16"/>
      <c r="U42" s="16"/>
    </row>
    <row r="43" spans="1:21" x14ac:dyDescent="0.3">
      <c r="A43" s="147" t="s">
        <v>418</v>
      </c>
      <c r="B43" s="144" t="s">
        <v>419</v>
      </c>
      <c r="C43" s="300">
        <f t="shared" si="22"/>
        <v>0.12005078</v>
      </c>
      <c r="D43" s="145">
        <f t="shared" si="23"/>
        <v>6.1061599000000001E-2</v>
      </c>
      <c r="E43" s="305">
        <f t="shared" si="24"/>
        <v>0.12005078</v>
      </c>
      <c r="F43" s="300">
        <f t="shared" si="25"/>
        <v>0.15054982</v>
      </c>
      <c r="G43" s="300">
        <f t="shared" si="27"/>
        <v>7.6241301999999997E-2</v>
      </c>
      <c r="H43" s="301">
        <f t="shared" si="28"/>
        <v>7.6241301999999997E-2</v>
      </c>
      <c r="I43" s="441">
        <f t="shared" si="29"/>
        <v>0.10069926383333333</v>
      </c>
      <c r="J43" s="441">
        <f t="shared" ref="J43:S43" si="31">I43</f>
        <v>0.10069926383333333</v>
      </c>
      <c r="K43" s="441">
        <f t="shared" si="31"/>
        <v>0.10069926383333333</v>
      </c>
      <c r="L43" s="441">
        <f t="shared" si="31"/>
        <v>0.10069926383333333</v>
      </c>
      <c r="M43" s="441">
        <f t="shared" si="31"/>
        <v>0.10069926383333333</v>
      </c>
      <c r="N43" s="441">
        <f t="shared" si="31"/>
        <v>0.10069926383333333</v>
      </c>
      <c r="O43" s="441">
        <f t="shared" si="31"/>
        <v>0.10069926383333333</v>
      </c>
      <c r="P43" s="441">
        <f t="shared" si="31"/>
        <v>0.10069926383333333</v>
      </c>
      <c r="Q43" s="441">
        <f t="shared" si="31"/>
        <v>0.10069926383333333</v>
      </c>
      <c r="R43" s="441">
        <f t="shared" si="31"/>
        <v>0.10069926383333333</v>
      </c>
      <c r="S43" s="441">
        <f t="shared" si="31"/>
        <v>0.10069926383333333</v>
      </c>
      <c r="T43" s="16"/>
      <c r="U43" s="16"/>
    </row>
    <row r="44" spans="1:21" x14ac:dyDescent="0.3">
      <c r="A44" s="143" t="s">
        <v>328</v>
      </c>
      <c r="B44" s="144" t="s">
        <v>342</v>
      </c>
      <c r="C44" s="300">
        <f t="shared" si="22"/>
        <v>1.1066115E-2</v>
      </c>
      <c r="D44" s="145">
        <f t="shared" si="23"/>
        <v>7.9983989000000002E-3</v>
      </c>
      <c r="E44" s="305">
        <f t="shared" si="24"/>
        <v>1.1066115E-2</v>
      </c>
      <c r="F44" s="300">
        <f t="shared" si="25"/>
        <v>1.0398085000000001E-3</v>
      </c>
      <c r="G44" s="300">
        <f t="shared" si="27"/>
        <v>8.5605900999999995E-3</v>
      </c>
      <c r="H44" s="301">
        <f t="shared" si="28"/>
        <v>8.5605900999999995E-3</v>
      </c>
      <c r="I44" s="441">
        <f t="shared" si="29"/>
        <v>8.0486029333333327E-3</v>
      </c>
      <c r="J44" s="441">
        <f t="shared" ref="J44:S44" si="32">I44</f>
        <v>8.0486029333333327E-3</v>
      </c>
      <c r="K44" s="441">
        <f t="shared" si="32"/>
        <v>8.0486029333333327E-3</v>
      </c>
      <c r="L44" s="441">
        <f t="shared" si="32"/>
        <v>8.0486029333333327E-3</v>
      </c>
      <c r="M44" s="441">
        <f t="shared" si="32"/>
        <v>8.0486029333333327E-3</v>
      </c>
      <c r="N44" s="441">
        <f t="shared" si="32"/>
        <v>8.0486029333333327E-3</v>
      </c>
      <c r="O44" s="441">
        <f t="shared" si="32"/>
        <v>8.0486029333333327E-3</v>
      </c>
      <c r="P44" s="441">
        <f t="shared" si="32"/>
        <v>8.0486029333333327E-3</v>
      </c>
      <c r="Q44" s="441">
        <f t="shared" si="32"/>
        <v>8.0486029333333327E-3</v>
      </c>
      <c r="R44" s="441">
        <f t="shared" si="32"/>
        <v>8.0486029333333327E-3</v>
      </c>
      <c r="S44" s="441">
        <f t="shared" si="32"/>
        <v>8.0486029333333327E-3</v>
      </c>
      <c r="T44" s="16"/>
      <c r="U44" s="16"/>
    </row>
    <row r="45" spans="1:21" x14ac:dyDescent="0.3">
      <c r="A45" s="147" t="s">
        <v>329</v>
      </c>
      <c r="B45" s="144" t="s">
        <v>343</v>
      </c>
      <c r="C45" s="300">
        <f t="shared" si="22"/>
        <v>1.0405132000000001E-7</v>
      </c>
      <c r="D45" s="145">
        <f t="shared" si="23"/>
        <v>9.5872464000000002E-8</v>
      </c>
      <c r="E45" s="305">
        <f t="shared" si="24"/>
        <v>1.0405132000000001E-7</v>
      </c>
      <c r="F45" s="300">
        <f t="shared" si="25"/>
        <v>8.0780695000000003E-9</v>
      </c>
      <c r="G45" s="300">
        <f t="shared" si="27"/>
        <v>9.7373824000000006E-8</v>
      </c>
      <c r="H45" s="301">
        <f t="shared" si="28"/>
        <v>9.7373824000000006E-8</v>
      </c>
      <c r="I45" s="441">
        <f t="shared" si="29"/>
        <v>8.4466803583333338E-8</v>
      </c>
      <c r="J45" s="441">
        <f t="shared" ref="J45:S45" si="33">I45</f>
        <v>8.4466803583333338E-8</v>
      </c>
      <c r="K45" s="441">
        <f t="shared" si="33"/>
        <v>8.4466803583333338E-8</v>
      </c>
      <c r="L45" s="441">
        <f t="shared" si="33"/>
        <v>8.4466803583333338E-8</v>
      </c>
      <c r="M45" s="441">
        <f t="shared" si="33"/>
        <v>8.4466803583333338E-8</v>
      </c>
      <c r="N45" s="441">
        <f t="shared" si="33"/>
        <v>8.4466803583333338E-8</v>
      </c>
      <c r="O45" s="441">
        <f t="shared" si="33"/>
        <v>8.4466803583333338E-8</v>
      </c>
      <c r="P45" s="441">
        <f t="shared" si="33"/>
        <v>8.4466803583333338E-8</v>
      </c>
      <c r="Q45" s="441">
        <f t="shared" si="33"/>
        <v>8.4466803583333338E-8</v>
      </c>
      <c r="R45" s="441">
        <f t="shared" si="33"/>
        <v>8.4466803583333338E-8</v>
      </c>
      <c r="S45" s="441">
        <f t="shared" si="33"/>
        <v>8.4466803583333338E-8</v>
      </c>
      <c r="T45" s="16"/>
      <c r="U45" s="16"/>
    </row>
    <row r="46" spans="1:21" x14ac:dyDescent="0.3">
      <c r="A46" s="147" t="s">
        <v>420</v>
      </c>
      <c r="B46" s="144" t="s">
        <v>421</v>
      </c>
      <c r="C46" s="300">
        <f t="shared" si="22"/>
        <v>2.0885889E-8</v>
      </c>
      <c r="D46" s="145">
        <f t="shared" si="23"/>
        <v>1.7927735999999999E-8</v>
      </c>
      <c r="E46" s="305">
        <f t="shared" si="24"/>
        <v>2.0885889E-8</v>
      </c>
      <c r="F46" s="300">
        <f t="shared" si="25"/>
        <v>2.2478817E-9</v>
      </c>
      <c r="G46" s="300">
        <f t="shared" si="27"/>
        <v>1.858454E-8</v>
      </c>
      <c r="H46" s="301">
        <f t="shared" si="28"/>
        <v>1.858454E-8</v>
      </c>
      <c r="I46" s="441">
        <f t="shared" si="29"/>
        <v>1.6519412616666667E-8</v>
      </c>
      <c r="J46" s="441">
        <f t="shared" ref="J46:S46" si="34">I46</f>
        <v>1.6519412616666667E-8</v>
      </c>
      <c r="K46" s="441">
        <f t="shared" si="34"/>
        <v>1.6519412616666667E-8</v>
      </c>
      <c r="L46" s="441">
        <f t="shared" si="34"/>
        <v>1.6519412616666667E-8</v>
      </c>
      <c r="M46" s="441">
        <f t="shared" si="34"/>
        <v>1.6519412616666667E-8</v>
      </c>
      <c r="N46" s="441">
        <f t="shared" si="34"/>
        <v>1.6519412616666667E-8</v>
      </c>
      <c r="O46" s="441">
        <f t="shared" si="34"/>
        <v>1.6519412616666667E-8</v>
      </c>
      <c r="P46" s="441">
        <f t="shared" si="34"/>
        <v>1.6519412616666667E-8</v>
      </c>
      <c r="Q46" s="441">
        <f t="shared" si="34"/>
        <v>1.6519412616666667E-8</v>
      </c>
      <c r="R46" s="441">
        <f t="shared" si="34"/>
        <v>1.6519412616666667E-8</v>
      </c>
      <c r="S46" s="441">
        <f t="shared" si="34"/>
        <v>1.6519412616666667E-8</v>
      </c>
      <c r="T46" s="16"/>
      <c r="U46" s="16"/>
    </row>
    <row r="47" spans="1:21" x14ac:dyDescent="0.3">
      <c r="A47" s="147" t="s">
        <v>422</v>
      </c>
      <c r="B47" s="144" t="s">
        <v>421</v>
      </c>
      <c r="C47" s="300">
        <f t="shared" si="22"/>
        <v>9.0326547999999995E-10</v>
      </c>
      <c r="D47" s="145">
        <f t="shared" si="23"/>
        <v>8.1068917000000005E-10</v>
      </c>
      <c r="E47" s="305">
        <f t="shared" si="24"/>
        <v>9.0326547999999995E-10</v>
      </c>
      <c r="F47" s="300">
        <f t="shared" si="25"/>
        <v>9.9302582000000002E-10</v>
      </c>
      <c r="G47" s="300">
        <f t="shared" si="27"/>
        <v>9.1009509999999998E-10</v>
      </c>
      <c r="H47" s="301">
        <f t="shared" si="28"/>
        <v>9.1009509999999998E-10</v>
      </c>
      <c r="I47" s="441">
        <f t="shared" si="29"/>
        <v>9.0507269166666672E-10</v>
      </c>
      <c r="J47" s="441">
        <f t="shared" ref="J47:S47" si="35">I47</f>
        <v>9.0507269166666672E-10</v>
      </c>
      <c r="K47" s="441">
        <f t="shared" si="35"/>
        <v>9.0507269166666672E-10</v>
      </c>
      <c r="L47" s="441">
        <f t="shared" si="35"/>
        <v>9.0507269166666672E-10</v>
      </c>
      <c r="M47" s="441">
        <f t="shared" si="35"/>
        <v>9.0507269166666672E-10</v>
      </c>
      <c r="N47" s="441">
        <f t="shared" si="35"/>
        <v>9.0507269166666672E-10</v>
      </c>
      <c r="O47" s="441">
        <f t="shared" si="35"/>
        <v>9.0507269166666672E-10</v>
      </c>
      <c r="P47" s="441">
        <f t="shared" si="35"/>
        <v>9.0507269166666672E-10</v>
      </c>
      <c r="Q47" s="441">
        <f t="shared" si="35"/>
        <v>9.0507269166666672E-10</v>
      </c>
      <c r="R47" s="441">
        <f t="shared" si="35"/>
        <v>9.0507269166666672E-10</v>
      </c>
      <c r="S47" s="441">
        <f t="shared" si="35"/>
        <v>9.0507269166666672E-10</v>
      </c>
      <c r="T47" s="16"/>
      <c r="U47" s="16"/>
    </row>
    <row r="48" spans="1:21" x14ac:dyDescent="0.3">
      <c r="A48" s="147" t="s">
        <v>330</v>
      </c>
      <c r="B48" s="144" t="s">
        <v>344</v>
      </c>
      <c r="C48" s="300">
        <f t="shared" si="22"/>
        <v>1.0940744000000001E-2</v>
      </c>
      <c r="D48" s="145">
        <f t="shared" si="23"/>
        <v>9.6864949999999998E-3</v>
      </c>
      <c r="E48" s="305">
        <f t="shared" si="24"/>
        <v>1.0940744000000001E-2</v>
      </c>
      <c r="F48" s="300">
        <f t="shared" si="25"/>
        <v>1.4264174000000001E-3</v>
      </c>
      <c r="G48" s="300">
        <f t="shared" si="27"/>
        <v>9.8791971000000006E-3</v>
      </c>
      <c r="H48" s="301">
        <f t="shared" si="28"/>
        <v>9.8791971000000006E-3</v>
      </c>
      <c r="I48" s="441">
        <f t="shared" si="29"/>
        <v>8.7921324333333339E-3</v>
      </c>
      <c r="J48" s="441">
        <f t="shared" ref="J48:S48" si="36">I48</f>
        <v>8.7921324333333339E-3</v>
      </c>
      <c r="K48" s="441">
        <f t="shared" si="36"/>
        <v>8.7921324333333339E-3</v>
      </c>
      <c r="L48" s="441">
        <f t="shared" si="36"/>
        <v>8.7921324333333339E-3</v>
      </c>
      <c r="M48" s="441">
        <f t="shared" si="36"/>
        <v>8.7921324333333339E-3</v>
      </c>
      <c r="N48" s="441">
        <f t="shared" si="36"/>
        <v>8.7921324333333339E-3</v>
      </c>
      <c r="O48" s="441">
        <f t="shared" si="36"/>
        <v>8.7921324333333339E-3</v>
      </c>
      <c r="P48" s="441">
        <f t="shared" si="36"/>
        <v>8.7921324333333339E-3</v>
      </c>
      <c r="Q48" s="441">
        <f t="shared" si="36"/>
        <v>8.7921324333333339E-3</v>
      </c>
      <c r="R48" s="441">
        <f t="shared" si="36"/>
        <v>8.7921324333333339E-3</v>
      </c>
      <c r="S48" s="441">
        <f t="shared" si="36"/>
        <v>8.7921324333333339E-3</v>
      </c>
      <c r="T48" s="16"/>
      <c r="U48" s="16"/>
    </row>
    <row r="49" spans="1:22" x14ac:dyDescent="0.3">
      <c r="A49" s="147" t="s">
        <v>331</v>
      </c>
      <c r="B49" s="144" t="s">
        <v>345</v>
      </c>
      <c r="C49" s="300">
        <f t="shared" si="22"/>
        <v>5.4812979000000005E-4</v>
      </c>
      <c r="D49" s="145">
        <f t="shared" si="23"/>
        <v>3.9390851999999998E-4</v>
      </c>
      <c r="E49" s="305">
        <f t="shared" si="24"/>
        <v>5.4812979000000005E-4</v>
      </c>
      <c r="F49" s="300">
        <f t="shared" si="25"/>
        <v>2.0966746999999999E-4</v>
      </c>
      <c r="G49" s="300">
        <f t="shared" si="27"/>
        <v>4.0821710999999999E-4</v>
      </c>
      <c r="H49" s="301">
        <f t="shared" si="28"/>
        <v>4.0821710999999999E-4</v>
      </c>
      <c r="I49" s="441">
        <f t="shared" si="29"/>
        <v>4.1937829833333333E-4</v>
      </c>
      <c r="J49" s="441">
        <f t="shared" ref="J49:S49" si="37">I49</f>
        <v>4.1937829833333333E-4</v>
      </c>
      <c r="K49" s="441">
        <f t="shared" si="37"/>
        <v>4.1937829833333333E-4</v>
      </c>
      <c r="L49" s="441">
        <f t="shared" si="37"/>
        <v>4.1937829833333333E-4</v>
      </c>
      <c r="M49" s="441">
        <f t="shared" si="37"/>
        <v>4.1937829833333333E-4</v>
      </c>
      <c r="N49" s="441">
        <f t="shared" si="37"/>
        <v>4.1937829833333333E-4</v>
      </c>
      <c r="O49" s="441">
        <f t="shared" si="37"/>
        <v>4.1937829833333333E-4</v>
      </c>
      <c r="P49" s="441">
        <f t="shared" si="37"/>
        <v>4.1937829833333333E-4</v>
      </c>
      <c r="Q49" s="441">
        <f t="shared" si="37"/>
        <v>4.1937829833333333E-4</v>
      </c>
      <c r="R49" s="441">
        <f t="shared" si="37"/>
        <v>4.1937829833333333E-4</v>
      </c>
      <c r="S49" s="441">
        <f t="shared" si="37"/>
        <v>4.1937829833333333E-4</v>
      </c>
      <c r="T49" s="16"/>
      <c r="U49" s="16"/>
    </row>
    <row r="50" spans="1:22" x14ac:dyDescent="0.3">
      <c r="A50" s="147" t="s">
        <v>423</v>
      </c>
      <c r="B50" s="144" t="s">
        <v>424</v>
      </c>
      <c r="C50" s="300">
        <f t="shared" si="22"/>
        <v>2.3340428E-3</v>
      </c>
      <c r="D50" s="145">
        <f t="shared" si="23"/>
        <v>1.9722701E-3</v>
      </c>
      <c r="E50" s="305">
        <f t="shared" si="24"/>
        <v>2.3340428E-3</v>
      </c>
      <c r="F50" s="300">
        <f t="shared" si="25"/>
        <v>2.7980700999999999E-4</v>
      </c>
      <c r="G50" s="300">
        <f t="shared" si="27"/>
        <v>2.0724097000000001E-3</v>
      </c>
      <c r="H50" s="301">
        <f t="shared" si="28"/>
        <v>2.0724097000000001E-3</v>
      </c>
      <c r="I50" s="441">
        <f t="shared" si="29"/>
        <v>1.8441636849999999E-3</v>
      </c>
      <c r="J50" s="441">
        <f t="shared" ref="J50:S50" si="38">I50</f>
        <v>1.8441636849999999E-3</v>
      </c>
      <c r="K50" s="441">
        <f t="shared" si="38"/>
        <v>1.8441636849999999E-3</v>
      </c>
      <c r="L50" s="441">
        <f t="shared" si="38"/>
        <v>1.8441636849999999E-3</v>
      </c>
      <c r="M50" s="441">
        <f t="shared" si="38"/>
        <v>1.8441636849999999E-3</v>
      </c>
      <c r="N50" s="441">
        <f t="shared" si="38"/>
        <v>1.8441636849999999E-3</v>
      </c>
      <c r="O50" s="441">
        <f t="shared" si="38"/>
        <v>1.8441636849999999E-3</v>
      </c>
      <c r="P50" s="441">
        <f t="shared" si="38"/>
        <v>1.8441636849999999E-3</v>
      </c>
      <c r="Q50" s="441">
        <f t="shared" si="38"/>
        <v>1.8441636849999999E-3</v>
      </c>
      <c r="R50" s="441">
        <f t="shared" si="38"/>
        <v>1.8441636849999999E-3</v>
      </c>
      <c r="S50" s="441">
        <f t="shared" si="38"/>
        <v>1.8441636849999999E-3</v>
      </c>
      <c r="T50" s="16"/>
      <c r="U50" s="16"/>
    </row>
    <row r="51" spans="1:22" x14ac:dyDescent="0.3">
      <c r="A51" s="147" t="s">
        <v>425</v>
      </c>
      <c r="B51" s="144" t="s">
        <v>426</v>
      </c>
      <c r="C51" s="300">
        <f t="shared" si="22"/>
        <v>2.3030174E-2</v>
      </c>
      <c r="D51" s="145">
        <f t="shared" si="23"/>
        <v>1.9870582000000001E-2</v>
      </c>
      <c r="E51" s="305">
        <f t="shared" si="24"/>
        <v>2.3030174E-2</v>
      </c>
      <c r="F51" s="300">
        <f t="shared" si="25"/>
        <v>2.5822542E-3</v>
      </c>
      <c r="G51" s="300">
        <f t="shared" si="27"/>
        <v>2.0716206000000001E-2</v>
      </c>
      <c r="H51" s="301">
        <f t="shared" si="28"/>
        <v>2.0716206000000001E-2</v>
      </c>
      <c r="I51" s="441">
        <f t="shared" si="29"/>
        <v>1.8324266033333331E-2</v>
      </c>
      <c r="J51" s="441">
        <f t="shared" ref="J51:S51" si="39">I51</f>
        <v>1.8324266033333331E-2</v>
      </c>
      <c r="K51" s="441">
        <f t="shared" si="39"/>
        <v>1.8324266033333331E-2</v>
      </c>
      <c r="L51" s="441">
        <f t="shared" si="39"/>
        <v>1.8324266033333331E-2</v>
      </c>
      <c r="M51" s="441">
        <f t="shared" si="39"/>
        <v>1.8324266033333331E-2</v>
      </c>
      <c r="N51" s="441">
        <f t="shared" si="39"/>
        <v>1.8324266033333331E-2</v>
      </c>
      <c r="O51" s="441">
        <f t="shared" si="39"/>
        <v>1.8324266033333331E-2</v>
      </c>
      <c r="P51" s="441">
        <f t="shared" si="39"/>
        <v>1.8324266033333331E-2</v>
      </c>
      <c r="Q51" s="441">
        <f t="shared" si="39"/>
        <v>1.8324266033333331E-2</v>
      </c>
      <c r="R51" s="441">
        <f t="shared" si="39"/>
        <v>1.8324266033333331E-2</v>
      </c>
      <c r="S51" s="441">
        <f t="shared" si="39"/>
        <v>1.8324266033333331E-2</v>
      </c>
      <c r="T51" s="16"/>
      <c r="U51" s="16"/>
    </row>
    <row r="52" spans="1:22" x14ac:dyDescent="0.3">
      <c r="A52" s="147" t="s">
        <v>427</v>
      </c>
      <c r="B52" s="144" t="s">
        <v>428</v>
      </c>
      <c r="C52" s="300">
        <f t="shared" si="22"/>
        <v>29.57085</v>
      </c>
      <c r="D52" s="145">
        <f t="shared" si="23"/>
        <v>24.423494000000002</v>
      </c>
      <c r="E52" s="305">
        <f t="shared" si="24"/>
        <v>29.57085</v>
      </c>
      <c r="F52" s="300">
        <f t="shared" si="25"/>
        <v>2.86206121E-3</v>
      </c>
      <c r="G52" s="300">
        <f t="shared" si="27"/>
        <v>25.701136999999999</v>
      </c>
      <c r="H52" s="301">
        <f t="shared" si="28"/>
        <v>25.701136999999999</v>
      </c>
      <c r="I52" s="441">
        <f t="shared" si="29"/>
        <v>22.495055010201664</v>
      </c>
      <c r="J52" s="441">
        <f t="shared" ref="J52:S52" si="40">I52</f>
        <v>22.495055010201664</v>
      </c>
      <c r="K52" s="441">
        <f t="shared" si="40"/>
        <v>22.495055010201664</v>
      </c>
      <c r="L52" s="441">
        <f t="shared" si="40"/>
        <v>22.495055010201664</v>
      </c>
      <c r="M52" s="441">
        <f t="shared" si="40"/>
        <v>22.495055010201664</v>
      </c>
      <c r="N52" s="441">
        <f t="shared" si="40"/>
        <v>22.495055010201664</v>
      </c>
      <c r="O52" s="441">
        <f t="shared" si="40"/>
        <v>22.495055010201664</v>
      </c>
      <c r="P52" s="441">
        <f t="shared" si="40"/>
        <v>22.495055010201664</v>
      </c>
      <c r="Q52" s="441">
        <f t="shared" si="40"/>
        <v>22.495055010201664</v>
      </c>
      <c r="R52" s="441">
        <f t="shared" si="40"/>
        <v>22.495055010201664</v>
      </c>
      <c r="S52" s="441">
        <f t="shared" si="40"/>
        <v>22.495055010201664</v>
      </c>
      <c r="T52" s="16"/>
      <c r="U52" s="16"/>
    </row>
    <row r="53" spans="1:22" x14ac:dyDescent="0.3">
      <c r="A53" s="147" t="s">
        <v>429</v>
      </c>
      <c r="B53" s="144" t="s">
        <v>430</v>
      </c>
      <c r="C53" s="300">
        <f t="shared" si="22"/>
        <v>4.4304462999999998</v>
      </c>
      <c r="D53" s="145">
        <f t="shared" si="23"/>
        <v>3.5952156999999998</v>
      </c>
      <c r="E53" s="305">
        <f t="shared" si="24"/>
        <v>4.4304462999999998</v>
      </c>
      <c r="F53" s="300">
        <f t="shared" si="25"/>
        <v>1.0042628</v>
      </c>
      <c r="G53" s="300">
        <f t="shared" si="27"/>
        <v>3.8009434999999998</v>
      </c>
      <c r="H53" s="301">
        <f t="shared" si="28"/>
        <v>3.8009434999999998</v>
      </c>
      <c r="I53" s="441">
        <f t="shared" si="29"/>
        <v>3.5103763499999996</v>
      </c>
      <c r="J53" s="441">
        <f t="shared" ref="J53:S53" si="41">I53</f>
        <v>3.5103763499999996</v>
      </c>
      <c r="K53" s="441">
        <f t="shared" si="41"/>
        <v>3.5103763499999996</v>
      </c>
      <c r="L53" s="441">
        <f t="shared" si="41"/>
        <v>3.5103763499999996</v>
      </c>
      <c r="M53" s="441">
        <f t="shared" si="41"/>
        <v>3.5103763499999996</v>
      </c>
      <c r="N53" s="441">
        <f t="shared" si="41"/>
        <v>3.5103763499999996</v>
      </c>
      <c r="O53" s="441">
        <f t="shared" si="41"/>
        <v>3.5103763499999996</v>
      </c>
      <c r="P53" s="441">
        <f t="shared" si="41"/>
        <v>3.5103763499999996</v>
      </c>
      <c r="Q53" s="441">
        <f t="shared" si="41"/>
        <v>3.5103763499999996</v>
      </c>
      <c r="R53" s="441">
        <f t="shared" si="41"/>
        <v>3.5103763499999996</v>
      </c>
      <c r="S53" s="441">
        <f t="shared" si="41"/>
        <v>3.5103763499999996</v>
      </c>
      <c r="T53" s="16"/>
      <c r="U53" s="16"/>
    </row>
    <row r="54" spans="1:22" x14ac:dyDescent="0.3">
      <c r="A54" s="147" t="s">
        <v>332</v>
      </c>
      <c r="B54" s="144" t="s">
        <v>431</v>
      </c>
      <c r="C54" s="300">
        <f t="shared" si="22"/>
        <v>1.4882468</v>
      </c>
      <c r="D54" s="145">
        <f t="shared" si="23"/>
        <v>0.95186462000000005</v>
      </c>
      <c r="E54" s="305">
        <f t="shared" si="24"/>
        <v>1.4882468</v>
      </c>
      <c r="F54" s="300">
        <f t="shared" si="25"/>
        <v>0.10940046</v>
      </c>
      <c r="G54" s="300">
        <f t="shared" si="27"/>
        <v>1.0892195</v>
      </c>
      <c r="H54" s="301">
        <f t="shared" si="28"/>
        <v>1.0892195</v>
      </c>
      <c r="I54" s="441">
        <f t="shared" si="29"/>
        <v>1.0360329466666667</v>
      </c>
      <c r="J54" s="441">
        <f t="shared" ref="J54:S54" si="42">I54</f>
        <v>1.0360329466666667</v>
      </c>
      <c r="K54" s="441">
        <f t="shared" si="42"/>
        <v>1.0360329466666667</v>
      </c>
      <c r="L54" s="441">
        <f t="shared" si="42"/>
        <v>1.0360329466666667</v>
      </c>
      <c r="M54" s="441">
        <f t="shared" si="42"/>
        <v>1.0360329466666667</v>
      </c>
      <c r="N54" s="441">
        <f t="shared" si="42"/>
        <v>1.0360329466666667</v>
      </c>
      <c r="O54" s="441">
        <f t="shared" si="42"/>
        <v>1.0360329466666667</v>
      </c>
      <c r="P54" s="441">
        <f t="shared" si="42"/>
        <v>1.0360329466666667</v>
      </c>
      <c r="Q54" s="441">
        <f t="shared" si="42"/>
        <v>1.0360329466666667</v>
      </c>
      <c r="R54" s="441">
        <f t="shared" si="42"/>
        <v>1.0360329466666667</v>
      </c>
      <c r="S54" s="441">
        <f t="shared" si="42"/>
        <v>1.0360329466666667</v>
      </c>
      <c r="T54" s="16"/>
      <c r="U54" s="16"/>
    </row>
    <row r="55" spans="1:22" ht="25.95" customHeight="1" x14ac:dyDescent="0.3">
      <c r="A55" s="147" t="s">
        <v>432</v>
      </c>
      <c r="B55" s="144" t="s">
        <v>347</v>
      </c>
      <c r="C55" s="300">
        <f t="shared" si="22"/>
        <v>76.132881999999995</v>
      </c>
      <c r="D55" s="145">
        <f t="shared" si="23"/>
        <v>75.504005000000006</v>
      </c>
      <c r="E55" s="305">
        <f t="shared" si="24"/>
        <v>76.132881999999995</v>
      </c>
      <c r="F55" s="300">
        <f t="shared" si="25"/>
        <v>3.9996920999999999</v>
      </c>
      <c r="G55" s="300">
        <f t="shared" si="27"/>
        <v>74.090174000000005</v>
      </c>
      <c r="H55" s="301">
        <f t="shared" si="28"/>
        <v>74.090174000000005</v>
      </c>
      <c r="I55" s="441">
        <f t="shared" si="29"/>
        <v>63.324968183333333</v>
      </c>
      <c r="J55" s="441">
        <f t="shared" ref="J55:S55" si="43">I55</f>
        <v>63.324968183333333</v>
      </c>
      <c r="K55" s="441">
        <f t="shared" si="43"/>
        <v>63.324968183333333</v>
      </c>
      <c r="L55" s="441">
        <f t="shared" si="43"/>
        <v>63.324968183333333</v>
      </c>
      <c r="M55" s="441">
        <f t="shared" si="43"/>
        <v>63.324968183333333</v>
      </c>
      <c r="N55" s="441">
        <f t="shared" si="43"/>
        <v>63.324968183333333</v>
      </c>
      <c r="O55" s="441">
        <f t="shared" si="43"/>
        <v>63.324968183333333</v>
      </c>
      <c r="P55" s="441">
        <f t="shared" si="43"/>
        <v>63.324968183333333</v>
      </c>
      <c r="Q55" s="441">
        <f t="shared" si="43"/>
        <v>63.324968183333333</v>
      </c>
      <c r="R55" s="441">
        <f t="shared" si="43"/>
        <v>63.324968183333333</v>
      </c>
      <c r="S55" s="441">
        <f t="shared" si="43"/>
        <v>63.324968183333333</v>
      </c>
      <c r="T55" s="16"/>
      <c r="U55" s="16"/>
    </row>
    <row r="56" spans="1:22" x14ac:dyDescent="0.3">
      <c r="A56" s="147" t="s">
        <v>334</v>
      </c>
      <c r="B56" s="144" t="s">
        <v>348</v>
      </c>
      <c r="C56" s="300">
        <f t="shared" si="22"/>
        <v>1.4619671000000001E-5</v>
      </c>
      <c r="D56" s="145">
        <f t="shared" si="23"/>
        <v>1.4055145E-5</v>
      </c>
      <c r="E56" s="305">
        <f t="shared" si="24"/>
        <v>1.4619671000000001E-5</v>
      </c>
      <c r="F56" s="300">
        <f t="shared" si="25"/>
        <v>6.6624555999999996E-7</v>
      </c>
      <c r="G56" s="300">
        <f t="shared" si="27"/>
        <v>1.4386389999999999E-5</v>
      </c>
      <c r="H56" s="301">
        <f t="shared" si="28"/>
        <v>1.4386389999999999E-5</v>
      </c>
      <c r="I56" s="441">
        <f t="shared" si="29"/>
        <v>1.2122252093333333E-5</v>
      </c>
      <c r="J56" s="441">
        <f t="shared" ref="J56:S56" si="44">I56</f>
        <v>1.2122252093333333E-5</v>
      </c>
      <c r="K56" s="441">
        <f t="shared" si="44"/>
        <v>1.2122252093333333E-5</v>
      </c>
      <c r="L56" s="441">
        <f t="shared" si="44"/>
        <v>1.2122252093333333E-5</v>
      </c>
      <c r="M56" s="441">
        <f t="shared" si="44"/>
        <v>1.2122252093333333E-5</v>
      </c>
      <c r="N56" s="441">
        <f t="shared" si="44"/>
        <v>1.2122252093333333E-5</v>
      </c>
      <c r="O56" s="441">
        <f t="shared" si="44"/>
        <v>1.2122252093333333E-5</v>
      </c>
      <c r="P56" s="441">
        <f t="shared" si="44"/>
        <v>1.2122252093333333E-5</v>
      </c>
      <c r="Q56" s="441">
        <f t="shared" si="44"/>
        <v>1.2122252093333333E-5</v>
      </c>
      <c r="R56" s="441">
        <f t="shared" si="44"/>
        <v>1.2122252093333333E-5</v>
      </c>
      <c r="S56" s="441">
        <f t="shared" si="44"/>
        <v>1.2122252093333333E-5</v>
      </c>
      <c r="T56" s="16"/>
      <c r="U56" s="16"/>
    </row>
    <row r="57" spans="1:22" ht="15" thickBot="1" x14ac:dyDescent="0.35">
      <c r="C57" s="16"/>
      <c r="T57" s="16"/>
      <c r="U57" s="16"/>
    </row>
    <row r="58" spans="1:22" ht="107.55" customHeight="1" x14ac:dyDescent="0.3">
      <c r="A58" s="306" t="s">
        <v>546</v>
      </c>
      <c r="B58" s="140" t="s">
        <v>401</v>
      </c>
      <c r="C58" s="141" t="s">
        <v>402</v>
      </c>
      <c r="D58" s="141" t="s">
        <v>403</v>
      </c>
      <c r="E58" s="141" t="s">
        <v>404</v>
      </c>
      <c r="F58" s="141" t="s">
        <v>196</v>
      </c>
      <c r="G58" s="141" t="s">
        <v>302</v>
      </c>
      <c r="H58" s="299" t="s">
        <v>303</v>
      </c>
      <c r="I58" s="439" t="s">
        <v>302</v>
      </c>
      <c r="J58" s="439" t="s">
        <v>406</v>
      </c>
      <c r="K58" s="439" t="s">
        <v>407</v>
      </c>
      <c r="L58" s="439" t="s">
        <v>408</v>
      </c>
      <c r="M58" s="439" t="s">
        <v>409</v>
      </c>
      <c r="N58" s="439" t="s">
        <v>410</v>
      </c>
      <c r="O58" s="439" t="s">
        <v>411</v>
      </c>
      <c r="P58" s="439" t="s">
        <v>412</v>
      </c>
      <c r="Q58" s="439" t="s">
        <v>413</v>
      </c>
      <c r="R58" s="439" t="s">
        <v>414</v>
      </c>
      <c r="S58" s="439" t="s">
        <v>415</v>
      </c>
      <c r="T58" s="16"/>
      <c r="U58" s="549" t="s">
        <v>797</v>
      </c>
      <c r="V58" s="549"/>
    </row>
    <row r="59" spans="1:22" x14ac:dyDescent="0.3">
      <c r="A59" s="143" t="s">
        <v>327</v>
      </c>
      <c r="B59" s="144" t="s">
        <v>336</v>
      </c>
      <c r="C59" s="300">
        <f>'DG CFF calcul'!$AL7</f>
        <v>-7.1919412000000002E-2</v>
      </c>
      <c r="D59" s="145">
        <f>'DG CFF calcul'!$AL24</f>
        <v>-7.1919412000000002E-2</v>
      </c>
      <c r="E59" s="300">
        <f>'DG CFF calcul'!$AL41</f>
        <v>-7.1919412000000002E-2</v>
      </c>
      <c r="F59" s="300">
        <f>'DG CFF calcul'!$AL58</f>
        <v>-7.1919412000000002E-2</v>
      </c>
      <c r="G59" s="300">
        <f>'DG CFF calcul'!$AL75</f>
        <v>-7.1919412000000002E-2</v>
      </c>
      <c r="H59" s="301">
        <f>'DG CFF calcul'!AL92</f>
        <v>-0.56890596999999998</v>
      </c>
      <c r="I59" s="441">
        <f>'DG CFF calcul'!AL109</f>
        <v>-0.15475050500000001</v>
      </c>
      <c r="J59" s="441">
        <f>I59</f>
        <v>-0.15475050500000001</v>
      </c>
      <c r="K59" s="441">
        <f t="shared" ref="K59:S59" si="45">J59</f>
        <v>-0.15475050500000001</v>
      </c>
      <c r="L59" s="441">
        <f t="shared" si="45"/>
        <v>-0.15475050500000001</v>
      </c>
      <c r="M59" s="441">
        <f t="shared" si="45"/>
        <v>-0.15475050500000001</v>
      </c>
      <c r="N59" s="441">
        <f t="shared" si="45"/>
        <v>-0.15475050500000001</v>
      </c>
      <c r="O59" s="441">
        <f t="shared" si="45"/>
        <v>-0.15475050500000001</v>
      </c>
      <c r="P59" s="441">
        <f t="shared" si="45"/>
        <v>-0.15475050500000001</v>
      </c>
      <c r="Q59" s="441">
        <f t="shared" si="45"/>
        <v>-0.15475050500000001</v>
      </c>
      <c r="R59" s="441">
        <f t="shared" si="45"/>
        <v>-0.15475050500000001</v>
      </c>
      <c r="S59" s="441">
        <f t="shared" si="45"/>
        <v>-0.15475050500000001</v>
      </c>
      <c r="T59" s="16"/>
      <c r="U59" s="16"/>
    </row>
    <row r="60" spans="1:22" x14ac:dyDescent="0.3">
      <c r="A60" s="147" t="s">
        <v>416</v>
      </c>
      <c r="B60" s="144" t="s">
        <v>417</v>
      </c>
      <c r="C60" s="300">
        <f>'DG CFF calcul'!$AL8</f>
        <v>-2.2703682000000001E-9</v>
      </c>
      <c r="D60" s="145">
        <f>'DG CFF calcul'!$AL25</f>
        <v>-2.2703682000000001E-9</v>
      </c>
      <c r="E60" s="300">
        <f>'DG CFF calcul'!$AL42</f>
        <v>-2.2703682000000001E-9</v>
      </c>
      <c r="F60" s="300">
        <f>'DG CFF calcul'!$AL59</f>
        <v>-2.2703682000000001E-9</v>
      </c>
      <c r="G60" s="300">
        <f>'DG CFF calcul'!$AL76</f>
        <v>-2.2703682000000001E-9</v>
      </c>
      <c r="H60" s="301">
        <f>'DG CFF calcul'!AL93</f>
        <v>-2.2703701999999999E-9</v>
      </c>
      <c r="I60" s="441">
        <f>'DG CFF calcul'!AL110</f>
        <v>-2.2703685333333333E-9</v>
      </c>
      <c r="J60" s="441">
        <f t="shared" ref="J60:S74" si="46">I60</f>
        <v>-2.2703685333333333E-9</v>
      </c>
      <c r="K60" s="441">
        <f t="shared" si="46"/>
        <v>-2.2703685333333333E-9</v>
      </c>
      <c r="L60" s="441">
        <f t="shared" si="46"/>
        <v>-2.2703685333333333E-9</v>
      </c>
      <c r="M60" s="441">
        <f t="shared" si="46"/>
        <v>-2.2703685333333333E-9</v>
      </c>
      <c r="N60" s="441">
        <f t="shared" si="46"/>
        <v>-2.2703685333333333E-9</v>
      </c>
      <c r="O60" s="441">
        <f t="shared" si="46"/>
        <v>-2.2703685333333333E-9</v>
      </c>
      <c r="P60" s="441">
        <f t="shared" si="46"/>
        <v>-2.2703685333333333E-9</v>
      </c>
      <c r="Q60" s="441">
        <f t="shared" si="46"/>
        <v>-2.2703685333333333E-9</v>
      </c>
      <c r="R60" s="441">
        <f t="shared" si="46"/>
        <v>-2.2703685333333333E-9</v>
      </c>
      <c r="S60" s="441">
        <f t="shared" si="46"/>
        <v>-2.2703685333333333E-9</v>
      </c>
      <c r="T60" s="16"/>
      <c r="U60" s="16"/>
    </row>
    <row r="61" spans="1:22" x14ac:dyDescent="0.3">
      <c r="A61" s="147" t="s">
        <v>418</v>
      </c>
      <c r="B61" s="144" t="s">
        <v>419</v>
      </c>
      <c r="C61" s="300">
        <f>'DG CFF calcul'!$AL9</f>
        <v>-3.5874136E-3</v>
      </c>
      <c r="D61" s="145">
        <f>'DG CFF calcul'!$AL26</f>
        <v>-3.5874136E-3</v>
      </c>
      <c r="E61" s="300">
        <f>'DG CFF calcul'!$AL43</f>
        <v>-3.5874136E-3</v>
      </c>
      <c r="F61" s="300">
        <f>'DG CFF calcul'!$AL60</f>
        <v>-3.5874136E-3</v>
      </c>
      <c r="G61" s="300">
        <f>'DG CFF calcul'!$AL77</f>
        <v>-3.5874136E-3</v>
      </c>
      <c r="H61" s="301">
        <f>'DG CFF calcul'!AL94</f>
        <v>-3.5874167999999998E-3</v>
      </c>
      <c r="I61" s="441">
        <f>'DG CFF calcul'!AL111</f>
        <v>-3.5874141333333332E-3</v>
      </c>
      <c r="J61" s="441">
        <f t="shared" si="46"/>
        <v>-3.5874141333333332E-3</v>
      </c>
      <c r="K61" s="441">
        <f t="shared" si="46"/>
        <v>-3.5874141333333332E-3</v>
      </c>
      <c r="L61" s="441">
        <f t="shared" si="46"/>
        <v>-3.5874141333333332E-3</v>
      </c>
      <c r="M61" s="441">
        <f t="shared" si="46"/>
        <v>-3.5874141333333332E-3</v>
      </c>
      <c r="N61" s="441">
        <f t="shared" si="46"/>
        <v>-3.5874141333333332E-3</v>
      </c>
      <c r="O61" s="441">
        <f t="shared" si="46"/>
        <v>-3.5874141333333332E-3</v>
      </c>
      <c r="P61" s="441">
        <f t="shared" si="46"/>
        <v>-3.5874141333333332E-3</v>
      </c>
      <c r="Q61" s="441">
        <f t="shared" si="46"/>
        <v>-3.5874141333333332E-3</v>
      </c>
      <c r="R61" s="441">
        <f t="shared" si="46"/>
        <v>-3.5874141333333332E-3</v>
      </c>
      <c r="S61" s="441">
        <f t="shared" si="46"/>
        <v>-3.5874141333333332E-3</v>
      </c>
      <c r="T61" s="16"/>
      <c r="U61" s="16"/>
    </row>
    <row r="62" spans="1:22" x14ac:dyDescent="0.3">
      <c r="A62" s="143" t="s">
        <v>328</v>
      </c>
      <c r="B62" s="144" t="s">
        <v>342</v>
      </c>
      <c r="C62" s="300">
        <f>'DG CFF calcul'!$AL10</f>
        <v>-1.9214072000000001E-4</v>
      </c>
      <c r="D62" s="145">
        <f>'DG CFF calcul'!$AL27</f>
        <v>-1.9214072000000001E-4</v>
      </c>
      <c r="E62" s="300">
        <f>'DG CFF calcul'!$AL44</f>
        <v>-1.9214072000000001E-4</v>
      </c>
      <c r="F62" s="300">
        <f>'DG CFF calcul'!$AL61</f>
        <v>-1.9214072000000001E-4</v>
      </c>
      <c r="G62" s="300">
        <f>'DG CFF calcul'!$AL78</f>
        <v>-1.9214072000000001E-4</v>
      </c>
      <c r="H62" s="301">
        <f>'DG CFF calcul'!AL95</f>
        <v>-4.6474944000000001E-4</v>
      </c>
      <c r="I62" s="441">
        <f>'DG CFF calcul'!AL112</f>
        <v>-2.3757550666666667E-4</v>
      </c>
      <c r="J62" s="441">
        <f t="shared" si="46"/>
        <v>-2.3757550666666667E-4</v>
      </c>
      <c r="K62" s="441">
        <f t="shared" si="46"/>
        <v>-2.3757550666666667E-4</v>
      </c>
      <c r="L62" s="441">
        <f t="shared" si="46"/>
        <v>-2.3757550666666667E-4</v>
      </c>
      <c r="M62" s="441">
        <f t="shared" si="46"/>
        <v>-2.3757550666666667E-4</v>
      </c>
      <c r="N62" s="441">
        <f t="shared" si="46"/>
        <v>-2.3757550666666667E-4</v>
      </c>
      <c r="O62" s="441">
        <f t="shared" si="46"/>
        <v>-2.3757550666666667E-4</v>
      </c>
      <c r="P62" s="441">
        <f t="shared" si="46"/>
        <v>-2.3757550666666667E-4</v>
      </c>
      <c r="Q62" s="441">
        <f t="shared" si="46"/>
        <v>-2.3757550666666667E-4</v>
      </c>
      <c r="R62" s="441">
        <f t="shared" si="46"/>
        <v>-2.3757550666666667E-4</v>
      </c>
      <c r="S62" s="441">
        <f t="shared" si="46"/>
        <v>-2.3757550666666667E-4</v>
      </c>
      <c r="T62" s="16"/>
      <c r="U62" s="16"/>
    </row>
    <row r="63" spans="1:22" x14ac:dyDescent="0.3">
      <c r="A63" s="147" t="s">
        <v>329</v>
      </c>
      <c r="B63" s="144" t="s">
        <v>343</v>
      </c>
      <c r="C63" s="300">
        <f>'DG CFF calcul'!$AL11</f>
        <v>-2.2139156000000001E-8</v>
      </c>
      <c r="D63" s="145">
        <f>'DG CFF calcul'!$AL28</f>
        <v>-2.2139156000000001E-8</v>
      </c>
      <c r="E63" s="300">
        <f>'DG CFF calcul'!$AL45</f>
        <v>-2.2139156000000001E-8</v>
      </c>
      <c r="F63" s="300">
        <f>'DG CFF calcul'!$AL62</f>
        <v>-2.2139156000000001E-8</v>
      </c>
      <c r="G63" s="300">
        <f>'DG CFF calcul'!$AL79</f>
        <v>-2.2139156000000001E-8</v>
      </c>
      <c r="H63" s="301">
        <f>'DG CFF calcul'!AL96</f>
        <v>-2.2663102999999999E-8</v>
      </c>
      <c r="I63" s="441">
        <f>'DG CFF calcul'!AL113</f>
        <v>-2.2226480499999999E-8</v>
      </c>
      <c r="J63" s="441">
        <f t="shared" si="46"/>
        <v>-2.2226480499999999E-8</v>
      </c>
      <c r="K63" s="441">
        <f t="shared" si="46"/>
        <v>-2.2226480499999999E-8</v>
      </c>
      <c r="L63" s="441">
        <f t="shared" si="46"/>
        <v>-2.2226480499999999E-8</v>
      </c>
      <c r="M63" s="441">
        <f t="shared" si="46"/>
        <v>-2.2226480499999999E-8</v>
      </c>
      <c r="N63" s="441">
        <f t="shared" si="46"/>
        <v>-2.2226480499999999E-8</v>
      </c>
      <c r="O63" s="441">
        <f t="shared" si="46"/>
        <v>-2.2226480499999999E-8</v>
      </c>
      <c r="P63" s="441">
        <f t="shared" si="46"/>
        <v>-2.2226480499999999E-8</v>
      </c>
      <c r="Q63" s="441">
        <f t="shared" si="46"/>
        <v>-2.2226480499999999E-8</v>
      </c>
      <c r="R63" s="441">
        <f t="shared" si="46"/>
        <v>-2.2226480499999999E-8</v>
      </c>
      <c r="S63" s="441">
        <f t="shared" si="46"/>
        <v>-2.2226480499999999E-8</v>
      </c>
      <c r="T63" s="16"/>
      <c r="U63" s="16"/>
    </row>
    <row r="64" spans="1:22" x14ac:dyDescent="0.3">
      <c r="A64" s="147" t="s">
        <v>420</v>
      </c>
      <c r="B64" s="144" t="s">
        <v>421</v>
      </c>
      <c r="C64" s="300">
        <f>'DG CFF calcul'!$AL12</f>
        <v>-2.0773666000000001E-10</v>
      </c>
      <c r="D64" s="145">
        <f>'DG CFF calcul'!$AL29</f>
        <v>-2.0773666000000001E-10</v>
      </c>
      <c r="E64" s="300">
        <f>'DG CFF calcul'!$AL46</f>
        <v>-2.0773666000000001E-10</v>
      </c>
      <c r="F64" s="300">
        <f>'DG CFF calcul'!$AL63</f>
        <v>-2.0773666000000001E-10</v>
      </c>
      <c r="G64" s="300">
        <f>'DG CFF calcul'!$AL80</f>
        <v>-2.0773666000000001E-10</v>
      </c>
      <c r="H64" s="301">
        <f>'DG CFF calcul'!AL97</f>
        <v>-6.9221840000000002E-10</v>
      </c>
      <c r="I64" s="441">
        <f>'DG CFF calcul'!AL114</f>
        <v>-2.8848361666666667E-10</v>
      </c>
      <c r="J64" s="441">
        <f t="shared" si="46"/>
        <v>-2.8848361666666667E-10</v>
      </c>
      <c r="K64" s="441">
        <f t="shared" si="46"/>
        <v>-2.8848361666666667E-10</v>
      </c>
      <c r="L64" s="441">
        <f t="shared" si="46"/>
        <v>-2.8848361666666667E-10</v>
      </c>
      <c r="M64" s="441">
        <f t="shared" si="46"/>
        <v>-2.8848361666666667E-10</v>
      </c>
      <c r="N64" s="441">
        <f t="shared" si="46"/>
        <v>-2.8848361666666667E-10</v>
      </c>
      <c r="O64" s="441">
        <f t="shared" si="46"/>
        <v>-2.8848361666666667E-10</v>
      </c>
      <c r="P64" s="441">
        <f t="shared" si="46"/>
        <v>-2.8848361666666667E-10</v>
      </c>
      <c r="Q64" s="441">
        <f t="shared" si="46"/>
        <v>-2.8848361666666667E-10</v>
      </c>
      <c r="R64" s="441">
        <f t="shared" si="46"/>
        <v>-2.8848361666666667E-10</v>
      </c>
      <c r="S64" s="441">
        <f t="shared" si="46"/>
        <v>-2.8848361666666667E-10</v>
      </c>
      <c r="T64" s="16"/>
      <c r="U64" s="16"/>
    </row>
    <row r="65" spans="1:21" x14ac:dyDescent="0.3">
      <c r="A65" s="147" t="s">
        <v>422</v>
      </c>
      <c r="B65" s="144" t="s">
        <v>421</v>
      </c>
      <c r="C65" s="300">
        <f>'DG CFF calcul'!$AL13</f>
        <v>-1.9487869E-11</v>
      </c>
      <c r="D65" s="145">
        <f>'DG CFF calcul'!$AL30</f>
        <v>-1.9487869E-11</v>
      </c>
      <c r="E65" s="300">
        <f>'DG CFF calcul'!$AL47</f>
        <v>-1.9487869E-11</v>
      </c>
      <c r="F65" s="300">
        <f>'DG CFF calcul'!$AL64</f>
        <v>-1.9487869E-11</v>
      </c>
      <c r="G65" s="300">
        <f>'DG CFF calcul'!$AL81</f>
        <v>-1.9487869E-11</v>
      </c>
      <c r="H65" s="301">
        <f>'DG CFF calcul'!AL98</f>
        <v>-8.0999601999999995E-12</v>
      </c>
      <c r="I65" s="441">
        <f>'DG CFF calcul'!AL115</f>
        <v>-1.7589884200000002E-11</v>
      </c>
      <c r="J65" s="441">
        <f t="shared" si="46"/>
        <v>-1.7589884200000002E-11</v>
      </c>
      <c r="K65" s="441">
        <f t="shared" si="46"/>
        <v>-1.7589884200000002E-11</v>
      </c>
      <c r="L65" s="441">
        <f t="shared" si="46"/>
        <v>-1.7589884200000002E-11</v>
      </c>
      <c r="M65" s="441">
        <f t="shared" si="46"/>
        <v>-1.7589884200000002E-11</v>
      </c>
      <c r="N65" s="441">
        <f t="shared" si="46"/>
        <v>-1.7589884200000002E-11</v>
      </c>
      <c r="O65" s="441">
        <f t="shared" si="46"/>
        <v>-1.7589884200000002E-11</v>
      </c>
      <c r="P65" s="441">
        <f t="shared" si="46"/>
        <v>-1.7589884200000002E-11</v>
      </c>
      <c r="Q65" s="441">
        <f t="shared" si="46"/>
        <v>-1.7589884200000002E-11</v>
      </c>
      <c r="R65" s="441">
        <f t="shared" si="46"/>
        <v>-1.7589884200000002E-11</v>
      </c>
      <c r="S65" s="441">
        <f t="shared" si="46"/>
        <v>-1.7589884200000002E-11</v>
      </c>
      <c r="T65" s="16"/>
      <c r="U65" s="16"/>
    </row>
    <row r="66" spans="1:21" x14ac:dyDescent="0.3">
      <c r="A66" s="147" t="s">
        <v>330</v>
      </c>
      <c r="B66" s="144" t="s">
        <v>344</v>
      </c>
      <c r="C66" s="300">
        <f>'DG CFF calcul'!$AL14</f>
        <v>-2.8440295E-4</v>
      </c>
      <c r="D66" s="145">
        <f>'DG CFF calcul'!$AL31</f>
        <v>-2.8440295E-4</v>
      </c>
      <c r="E66" s="300">
        <f>'DG CFF calcul'!$AL48</f>
        <v>-2.8440295E-4</v>
      </c>
      <c r="F66" s="300">
        <f>'DG CFF calcul'!$AL65</f>
        <v>-2.8440295E-4</v>
      </c>
      <c r="G66" s="300">
        <f>'DG CFF calcul'!$AL82</f>
        <v>-2.8440295E-4</v>
      </c>
      <c r="H66" s="301">
        <f>'DG CFF calcul'!AL99</f>
        <v>-4.0820693000000001E-4</v>
      </c>
      <c r="I66" s="441">
        <f>'DG CFF calcul'!AL116</f>
        <v>-3.0503694666666673E-4</v>
      </c>
      <c r="J66" s="441">
        <f t="shared" si="46"/>
        <v>-3.0503694666666673E-4</v>
      </c>
      <c r="K66" s="441">
        <f t="shared" si="46"/>
        <v>-3.0503694666666673E-4</v>
      </c>
      <c r="L66" s="441">
        <f t="shared" si="46"/>
        <v>-3.0503694666666673E-4</v>
      </c>
      <c r="M66" s="441">
        <f t="shared" si="46"/>
        <v>-3.0503694666666673E-4</v>
      </c>
      <c r="N66" s="441">
        <f t="shared" si="46"/>
        <v>-3.0503694666666673E-4</v>
      </c>
      <c r="O66" s="441">
        <f t="shared" si="46"/>
        <v>-3.0503694666666673E-4</v>
      </c>
      <c r="P66" s="441">
        <f t="shared" si="46"/>
        <v>-3.0503694666666673E-4</v>
      </c>
      <c r="Q66" s="441">
        <f t="shared" si="46"/>
        <v>-3.0503694666666673E-4</v>
      </c>
      <c r="R66" s="441">
        <f t="shared" si="46"/>
        <v>-3.0503694666666673E-4</v>
      </c>
      <c r="S66" s="441">
        <f t="shared" si="46"/>
        <v>-3.0503694666666673E-4</v>
      </c>
      <c r="T66" s="16"/>
      <c r="U66" s="16"/>
    </row>
    <row r="67" spans="1:21" x14ac:dyDescent="0.3">
      <c r="A67" s="147" t="s">
        <v>331</v>
      </c>
      <c r="B67" s="144" t="s">
        <v>345</v>
      </c>
      <c r="C67" s="300">
        <f>'DG CFF calcul'!$AL15</f>
        <v>-3.3771856999999997E-5</v>
      </c>
      <c r="D67" s="145">
        <f>'DG CFF calcul'!$AL32</f>
        <v>-3.3771856999999997E-5</v>
      </c>
      <c r="E67" s="300">
        <f>'DG CFF calcul'!$AL49</f>
        <v>-3.3771856999999997E-5</v>
      </c>
      <c r="F67" s="300">
        <f>'DG CFF calcul'!$AL66</f>
        <v>-3.3771856999999997E-5</v>
      </c>
      <c r="G67" s="300">
        <f>'DG CFF calcul'!$AL83</f>
        <v>-3.3771856999999997E-5</v>
      </c>
      <c r="H67" s="301">
        <f>'DG CFF calcul'!AL100</f>
        <v>-1.0591003E-4</v>
      </c>
      <c r="I67" s="441">
        <f>'DG CFF calcul'!AL117</f>
        <v>-4.5794885833333331E-5</v>
      </c>
      <c r="J67" s="441">
        <f t="shared" si="46"/>
        <v>-4.5794885833333331E-5</v>
      </c>
      <c r="K67" s="441">
        <f t="shared" si="46"/>
        <v>-4.5794885833333331E-5</v>
      </c>
      <c r="L67" s="441">
        <f t="shared" si="46"/>
        <v>-4.5794885833333331E-5</v>
      </c>
      <c r="M67" s="441">
        <f t="shared" si="46"/>
        <v>-4.5794885833333331E-5</v>
      </c>
      <c r="N67" s="441">
        <f t="shared" si="46"/>
        <v>-4.5794885833333331E-5</v>
      </c>
      <c r="O67" s="441">
        <f t="shared" si="46"/>
        <v>-4.5794885833333331E-5</v>
      </c>
      <c r="P67" s="441">
        <f t="shared" si="46"/>
        <v>-4.5794885833333331E-5</v>
      </c>
      <c r="Q67" s="441">
        <f t="shared" si="46"/>
        <v>-4.5794885833333331E-5</v>
      </c>
      <c r="R67" s="441">
        <f t="shared" si="46"/>
        <v>-4.5794885833333331E-5</v>
      </c>
      <c r="S67" s="441">
        <f t="shared" si="46"/>
        <v>-4.5794885833333331E-5</v>
      </c>
      <c r="T67" s="16"/>
      <c r="U67" s="16"/>
    </row>
    <row r="68" spans="1:21" x14ac:dyDescent="0.3">
      <c r="A68" s="147" t="s">
        <v>423</v>
      </c>
      <c r="B68" s="144" t="s">
        <v>424</v>
      </c>
      <c r="C68" s="300">
        <f>'DG CFF calcul'!$AL16</f>
        <v>-5.9943874000000003E-5</v>
      </c>
      <c r="D68" s="145">
        <f>'DG CFF calcul'!$AL33</f>
        <v>-5.9943874000000003E-5</v>
      </c>
      <c r="E68" s="300">
        <f>'DG CFF calcul'!$AL50</f>
        <v>-5.9943874000000003E-5</v>
      </c>
      <c r="F68" s="300">
        <f>'DG CFF calcul'!$AL67</f>
        <v>-5.9943874000000003E-5</v>
      </c>
      <c r="G68" s="300">
        <f>'DG CFF calcul'!$AL84</f>
        <v>-5.9943874000000003E-5</v>
      </c>
      <c r="H68" s="301">
        <f>'DG CFF calcul'!AL101</f>
        <v>-5.3084637E-4</v>
      </c>
      <c r="I68" s="441">
        <f>'DG CFF calcul'!AL118</f>
        <v>-1.3842762333333332E-4</v>
      </c>
      <c r="J68" s="441">
        <f t="shared" si="46"/>
        <v>-1.3842762333333332E-4</v>
      </c>
      <c r="K68" s="441">
        <f t="shared" si="46"/>
        <v>-1.3842762333333332E-4</v>
      </c>
      <c r="L68" s="441">
        <f t="shared" si="46"/>
        <v>-1.3842762333333332E-4</v>
      </c>
      <c r="M68" s="441">
        <f t="shared" si="46"/>
        <v>-1.3842762333333332E-4</v>
      </c>
      <c r="N68" s="441">
        <f t="shared" si="46"/>
        <v>-1.3842762333333332E-4</v>
      </c>
      <c r="O68" s="441">
        <f t="shared" si="46"/>
        <v>-1.3842762333333332E-4</v>
      </c>
      <c r="P68" s="441">
        <f t="shared" si="46"/>
        <v>-1.3842762333333332E-4</v>
      </c>
      <c r="Q68" s="441">
        <f t="shared" si="46"/>
        <v>-1.3842762333333332E-4</v>
      </c>
      <c r="R68" s="441">
        <f t="shared" si="46"/>
        <v>-1.3842762333333332E-4</v>
      </c>
      <c r="S68" s="441">
        <f t="shared" si="46"/>
        <v>-1.3842762333333332E-4</v>
      </c>
      <c r="T68" s="16"/>
      <c r="U68" s="16"/>
    </row>
    <row r="69" spans="1:21" x14ac:dyDescent="0.3">
      <c r="A69" s="147" t="s">
        <v>425</v>
      </c>
      <c r="B69" s="144" t="s">
        <v>426</v>
      </c>
      <c r="C69" s="300">
        <f>'DG CFF calcul'!$AL17</f>
        <v>-6.5510446999999996E-4</v>
      </c>
      <c r="D69" s="145">
        <f>'DG CFF calcul'!$AL34</f>
        <v>-6.5510446999999996E-4</v>
      </c>
      <c r="E69" s="300">
        <f>'DG CFF calcul'!$AL51</f>
        <v>-6.5510446999999996E-4</v>
      </c>
      <c r="F69" s="300">
        <f>'DG CFF calcul'!$AL68</f>
        <v>-6.5510446999999996E-4</v>
      </c>
      <c r="G69" s="300">
        <f>'DG CFF calcul'!$AL85</f>
        <v>-6.5510446999999996E-4</v>
      </c>
      <c r="H69" s="301">
        <f>'DG CFF calcul'!AL102</f>
        <v>-1.3010252E-3</v>
      </c>
      <c r="I69" s="441">
        <f>'DG CFF calcul'!AL119</f>
        <v>-7.6275792499999997E-4</v>
      </c>
      <c r="J69" s="441">
        <f t="shared" si="46"/>
        <v>-7.6275792499999997E-4</v>
      </c>
      <c r="K69" s="441">
        <f t="shared" si="46"/>
        <v>-7.6275792499999997E-4</v>
      </c>
      <c r="L69" s="441">
        <f t="shared" si="46"/>
        <v>-7.6275792499999997E-4</v>
      </c>
      <c r="M69" s="441">
        <f t="shared" si="46"/>
        <v>-7.6275792499999997E-4</v>
      </c>
      <c r="N69" s="441">
        <f t="shared" si="46"/>
        <v>-7.6275792499999997E-4</v>
      </c>
      <c r="O69" s="441">
        <f t="shared" si="46"/>
        <v>-7.6275792499999997E-4</v>
      </c>
      <c r="P69" s="441">
        <f t="shared" si="46"/>
        <v>-7.6275792499999997E-4</v>
      </c>
      <c r="Q69" s="441">
        <f t="shared" si="46"/>
        <v>-7.6275792499999997E-4</v>
      </c>
      <c r="R69" s="441">
        <f t="shared" si="46"/>
        <v>-7.6275792499999997E-4</v>
      </c>
      <c r="S69" s="441">
        <f t="shared" si="46"/>
        <v>-7.6275792499999997E-4</v>
      </c>
      <c r="T69" s="16"/>
      <c r="U69" s="16"/>
    </row>
    <row r="70" spans="1:21" x14ac:dyDescent="0.3">
      <c r="A70" s="147" t="s">
        <v>427</v>
      </c>
      <c r="B70" s="144" t="s">
        <v>428</v>
      </c>
      <c r="C70" s="300">
        <f>'DG CFF calcul'!$AL18</f>
        <v>-0.97420434</v>
      </c>
      <c r="D70" s="145">
        <f>'DG CFF calcul'!$AL35</f>
        <v>-0.97420434</v>
      </c>
      <c r="E70" s="300">
        <f>'DG CFF calcul'!$AL52</f>
        <v>-0.97420434</v>
      </c>
      <c r="F70" s="300">
        <f>'DG CFF calcul'!$AL69</f>
        <v>-0.97420434</v>
      </c>
      <c r="G70" s="300">
        <f>'DG CFF calcul'!$AL86</f>
        <v>-0.97420434</v>
      </c>
      <c r="H70" s="301">
        <f>'DG CFF calcul'!AL103</f>
        <v>-1.7510954000000001</v>
      </c>
      <c r="I70" s="441">
        <f>'DG CFF calcul'!AL120</f>
        <v>-1.1036861833333333</v>
      </c>
      <c r="J70" s="441">
        <f t="shared" si="46"/>
        <v>-1.1036861833333333</v>
      </c>
      <c r="K70" s="441">
        <f t="shared" si="46"/>
        <v>-1.1036861833333333</v>
      </c>
      <c r="L70" s="441">
        <f t="shared" si="46"/>
        <v>-1.1036861833333333</v>
      </c>
      <c r="M70" s="441">
        <f t="shared" si="46"/>
        <v>-1.1036861833333333</v>
      </c>
      <c r="N70" s="441">
        <f t="shared" si="46"/>
        <v>-1.1036861833333333</v>
      </c>
      <c r="O70" s="441">
        <f t="shared" si="46"/>
        <v>-1.1036861833333333</v>
      </c>
      <c r="P70" s="441">
        <f t="shared" si="46"/>
        <v>-1.1036861833333333</v>
      </c>
      <c r="Q70" s="441">
        <f t="shared" si="46"/>
        <v>-1.1036861833333333</v>
      </c>
      <c r="R70" s="441">
        <f t="shared" si="46"/>
        <v>-1.1036861833333333</v>
      </c>
      <c r="S70" s="441">
        <f t="shared" si="46"/>
        <v>-1.1036861833333333</v>
      </c>
      <c r="T70" s="16"/>
      <c r="U70" s="16"/>
    </row>
    <row r="71" spans="1:21" x14ac:dyDescent="0.3">
      <c r="A71" s="147" t="s">
        <v>429</v>
      </c>
      <c r="B71" s="144" t="s">
        <v>430</v>
      </c>
      <c r="C71" s="300">
        <f>'DG CFF calcul'!$AL19</f>
        <v>0</v>
      </c>
      <c r="D71" s="145">
        <f>'DG CFF calcul'!$AL36</f>
        <v>0</v>
      </c>
      <c r="E71" s="300">
        <f>'DG CFF calcul'!$AL53</f>
        <v>0</v>
      </c>
      <c r="F71" s="300">
        <f>'DG CFF calcul'!$AL70</f>
        <v>0</v>
      </c>
      <c r="G71" s="300">
        <f>'DG CFF calcul'!$AL87</f>
        <v>0</v>
      </c>
      <c r="H71" s="301">
        <f>'DG CFF calcul'!AL104</f>
        <v>0</v>
      </c>
      <c r="I71" s="441">
        <f>'DG CFF calcul'!AL121</f>
        <v>0</v>
      </c>
      <c r="J71" s="441">
        <f t="shared" si="46"/>
        <v>0</v>
      </c>
      <c r="K71" s="441">
        <f t="shared" si="46"/>
        <v>0</v>
      </c>
      <c r="L71" s="441">
        <f t="shared" si="46"/>
        <v>0</v>
      </c>
      <c r="M71" s="441">
        <f t="shared" si="46"/>
        <v>0</v>
      </c>
      <c r="N71" s="441">
        <f t="shared" si="46"/>
        <v>0</v>
      </c>
      <c r="O71" s="441">
        <f t="shared" si="46"/>
        <v>0</v>
      </c>
      <c r="P71" s="441">
        <f t="shared" si="46"/>
        <v>0</v>
      </c>
      <c r="Q71" s="441">
        <f t="shared" si="46"/>
        <v>0</v>
      </c>
      <c r="R71" s="441">
        <f t="shared" si="46"/>
        <v>0</v>
      </c>
      <c r="S71" s="441">
        <f t="shared" si="46"/>
        <v>0</v>
      </c>
      <c r="T71" s="16"/>
      <c r="U71" s="16"/>
    </row>
    <row r="72" spans="1:21" x14ac:dyDescent="0.3">
      <c r="A72" s="147" t="s">
        <v>332</v>
      </c>
      <c r="B72" s="144" t="s">
        <v>431</v>
      </c>
      <c r="C72" s="300">
        <f>'DG CFF calcul'!$AL20</f>
        <v>-4.3465658000000004E-3</v>
      </c>
      <c r="D72" s="145">
        <f>'DG CFF calcul'!$AL37</f>
        <v>-4.3465658000000004E-3</v>
      </c>
      <c r="E72" s="300">
        <f>'DG CFF calcul'!$AL54</f>
        <v>-4.3465658000000004E-3</v>
      </c>
      <c r="F72" s="300">
        <f>'DG CFF calcul'!$AL71</f>
        <v>-4.3465658000000004E-3</v>
      </c>
      <c r="G72" s="300">
        <f>'DG CFF calcul'!$AL88</f>
        <v>-4.3465658000000004E-3</v>
      </c>
      <c r="H72" s="301">
        <f>'DG CFF calcul'!AL105</f>
        <v>-9.2822962999999994E-3</v>
      </c>
      <c r="I72" s="441">
        <f>'DG CFF calcul'!AL122</f>
        <v>-5.16918755E-3</v>
      </c>
      <c r="J72" s="441">
        <f t="shared" si="46"/>
        <v>-5.16918755E-3</v>
      </c>
      <c r="K72" s="441">
        <f t="shared" si="46"/>
        <v>-5.16918755E-3</v>
      </c>
      <c r="L72" s="441">
        <f t="shared" si="46"/>
        <v>-5.16918755E-3</v>
      </c>
      <c r="M72" s="441">
        <f t="shared" si="46"/>
        <v>-5.16918755E-3</v>
      </c>
      <c r="N72" s="441">
        <f t="shared" si="46"/>
        <v>-5.16918755E-3</v>
      </c>
      <c r="O72" s="441">
        <f t="shared" si="46"/>
        <v>-5.16918755E-3</v>
      </c>
      <c r="P72" s="441">
        <f t="shared" si="46"/>
        <v>-5.16918755E-3</v>
      </c>
      <c r="Q72" s="441">
        <f t="shared" si="46"/>
        <v>-5.16918755E-3</v>
      </c>
      <c r="R72" s="441">
        <f t="shared" si="46"/>
        <v>-5.16918755E-3</v>
      </c>
      <c r="S72" s="441">
        <f t="shared" si="46"/>
        <v>-5.16918755E-3</v>
      </c>
      <c r="T72" s="16"/>
      <c r="U72" s="16"/>
    </row>
    <row r="73" spans="1:21" x14ac:dyDescent="0.3">
      <c r="A73" s="147" t="s">
        <v>432</v>
      </c>
      <c r="B73" s="144" t="s">
        <v>347</v>
      </c>
      <c r="C73" s="300">
        <f>'DG CFF calcul'!$AL21</f>
        <v>-1.1173516999999999</v>
      </c>
      <c r="D73" s="145">
        <f>'DG CFF calcul'!$AL38</f>
        <v>-1.1173516999999999</v>
      </c>
      <c r="E73" s="300">
        <f>'DG CFF calcul'!$AL55</f>
        <v>-1.1173516999999999</v>
      </c>
      <c r="F73" s="300">
        <f>'DG CFF calcul'!$AL72</f>
        <v>-1.1173516999999999</v>
      </c>
      <c r="G73" s="300">
        <f>'DG CFF calcul'!$AL89</f>
        <v>-1.1173516999999999</v>
      </c>
      <c r="H73" s="301">
        <f>'DG CFF calcul'!AL106</f>
        <v>-1.1173523999999999</v>
      </c>
      <c r="I73" s="441">
        <f>'DG CFF calcul'!AL123</f>
        <v>-1.1173518166666667</v>
      </c>
      <c r="J73" s="441">
        <f t="shared" si="46"/>
        <v>-1.1173518166666667</v>
      </c>
      <c r="K73" s="441">
        <f t="shared" si="46"/>
        <v>-1.1173518166666667</v>
      </c>
      <c r="L73" s="441">
        <f t="shared" si="46"/>
        <v>-1.1173518166666667</v>
      </c>
      <c r="M73" s="441">
        <f t="shared" si="46"/>
        <v>-1.1173518166666667</v>
      </c>
      <c r="N73" s="441">
        <f t="shared" si="46"/>
        <v>-1.1173518166666667</v>
      </c>
      <c r="O73" s="441">
        <f t="shared" si="46"/>
        <v>-1.1173518166666667</v>
      </c>
      <c r="P73" s="441">
        <f t="shared" si="46"/>
        <v>-1.1173518166666667</v>
      </c>
      <c r="Q73" s="441">
        <f t="shared" si="46"/>
        <v>-1.1173518166666667</v>
      </c>
      <c r="R73" s="441">
        <f t="shared" si="46"/>
        <v>-1.1173518166666667</v>
      </c>
      <c r="S73" s="441">
        <f t="shared" si="46"/>
        <v>-1.1173518166666667</v>
      </c>
      <c r="T73" s="16"/>
      <c r="U73" s="16"/>
    </row>
    <row r="74" spans="1:21" x14ac:dyDescent="0.3">
      <c r="A74" s="147" t="s">
        <v>334</v>
      </c>
      <c r="B74" s="144" t="s">
        <v>348</v>
      </c>
      <c r="C74" s="300">
        <f>'DG CFF calcul'!$AL22</f>
        <v>-5.4718007000000003E-9</v>
      </c>
      <c r="D74" s="145">
        <f>'DG CFF calcul'!$AL39</f>
        <v>-5.4718007000000003E-9</v>
      </c>
      <c r="E74" s="300">
        <f>'DG CFF calcul'!$AL56</f>
        <v>-5.4718007000000003E-9</v>
      </c>
      <c r="F74" s="300">
        <f>'DG CFF calcul'!$AL73</f>
        <v>-5.4718007000000003E-9</v>
      </c>
      <c r="G74" s="300">
        <f>'DG CFF calcul'!$AL90</f>
        <v>-5.4718007000000003E-9</v>
      </c>
      <c r="H74" s="301">
        <f>'DG CFF calcul'!AL107</f>
        <v>-5.4718062999999996E-9</v>
      </c>
      <c r="I74" s="441">
        <f>'DG CFF calcul'!AL124</f>
        <v>-5.4718016333333336E-9</v>
      </c>
      <c r="J74" s="441">
        <f t="shared" si="46"/>
        <v>-5.4718016333333336E-9</v>
      </c>
      <c r="K74" s="441">
        <f t="shared" si="46"/>
        <v>-5.4718016333333336E-9</v>
      </c>
      <c r="L74" s="441">
        <f t="shared" si="46"/>
        <v>-5.4718016333333336E-9</v>
      </c>
      <c r="M74" s="441">
        <f t="shared" si="46"/>
        <v>-5.4718016333333336E-9</v>
      </c>
      <c r="N74" s="441">
        <f t="shared" si="46"/>
        <v>-5.4718016333333336E-9</v>
      </c>
      <c r="O74" s="441">
        <f t="shared" si="46"/>
        <v>-5.4718016333333336E-9</v>
      </c>
      <c r="P74" s="441">
        <f t="shared" si="46"/>
        <v>-5.4718016333333336E-9</v>
      </c>
      <c r="Q74" s="441">
        <f t="shared" si="46"/>
        <v>-5.4718016333333336E-9</v>
      </c>
      <c r="R74" s="441">
        <f t="shared" si="46"/>
        <v>-5.4718016333333336E-9</v>
      </c>
      <c r="S74" s="441">
        <f t="shared" si="46"/>
        <v>-5.4718016333333336E-9</v>
      </c>
      <c r="T74" s="16"/>
      <c r="U74" s="16"/>
    </row>
    <row r="75" spans="1:21" ht="15" thickBot="1" x14ac:dyDescent="0.35">
      <c r="C75" s="16"/>
      <c r="G75" s="303"/>
      <c r="H75" s="303"/>
      <c r="I75" s="303"/>
      <c r="J75" s="303"/>
      <c r="T75" s="16"/>
      <c r="U75" s="16"/>
    </row>
    <row r="76" spans="1:21" ht="74.55" customHeight="1" x14ac:dyDescent="0.3">
      <c r="A76" s="307" t="s">
        <v>547</v>
      </c>
      <c r="B76" s="140" t="s">
        <v>401</v>
      </c>
      <c r="C76" s="308" t="s">
        <v>402</v>
      </c>
      <c r="D76" s="308" t="s">
        <v>403</v>
      </c>
      <c r="E76" s="308" t="s">
        <v>404</v>
      </c>
      <c r="F76" s="308" t="s">
        <v>196</v>
      </c>
      <c r="G76" s="141" t="s">
        <v>302</v>
      </c>
      <c r="H76" s="299" t="s">
        <v>303</v>
      </c>
      <c r="I76" s="439" t="s">
        <v>302</v>
      </c>
      <c r="J76" s="439" t="s">
        <v>406</v>
      </c>
      <c r="K76" s="439" t="s">
        <v>407</v>
      </c>
      <c r="L76" s="439" t="s">
        <v>408</v>
      </c>
      <c r="M76" s="439" t="s">
        <v>409</v>
      </c>
      <c r="N76" s="439" t="s">
        <v>410</v>
      </c>
      <c r="O76" s="439" t="s">
        <v>411</v>
      </c>
      <c r="P76" s="439" t="s">
        <v>412</v>
      </c>
      <c r="Q76" s="439" t="s">
        <v>413</v>
      </c>
      <c r="R76" s="439" t="s">
        <v>414</v>
      </c>
      <c r="S76" s="439" t="s">
        <v>415</v>
      </c>
    </row>
    <row r="77" spans="1:21" x14ac:dyDescent="0.3">
      <c r="A77" s="143" t="s">
        <v>327</v>
      </c>
      <c r="B77" s="144" t="s">
        <v>336</v>
      </c>
      <c r="C77" s="300" t="e">
        <f>'DG CFF calcul'!AH7</f>
        <v>#N/A</v>
      </c>
      <c r="D77" s="145" t="e">
        <f>'DG CFF calcul'!AH24</f>
        <v>#N/A</v>
      </c>
      <c r="E77" s="300" t="e">
        <f>'DG CFF calcul'!AH41</f>
        <v>#N/A</v>
      </c>
      <c r="F77" s="300" t="e">
        <f>'DG CFF calcul'!AH58</f>
        <v>#N/A</v>
      </c>
      <c r="G77" s="300" t="e">
        <f>'DG CFF calcul'!AH75</f>
        <v>#N/A</v>
      </c>
      <c r="H77" s="301" t="e">
        <f>'DG CFF calcul'!AH92</f>
        <v>#N/A</v>
      </c>
      <c r="I77" s="440" t="e">
        <f>'DG CFF calcul'!$AH109</f>
        <v>#N/A</v>
      </c>
      <c r="J77" s="440" t="e">
        <f>I77</f>
        <v>#N/A</v>
      </c>
      <c r="K77" s="440" t="e">
        <f t="shared" ref="K77:S77" si="47">J77</f>
        <v>#N/A</v>
      </c>
      <c r="L77" s="440" t="e">
        <f t="shared" si="47"/>
        <v>#N/A</v>
      </c>
      <c r="M77" s="440" t="e">
        <f t="shared" si="47"/>
        <v>#N/A</v>
      </c>
      <c r="N77" s="440" t="e">
        <f t="shared" si="47"/>
        <v>#N/A</v>
      </c>
      <c r="O77" s="440" t="e">
        <f t="shared" si="47"/>
        <v>#N/A</v>
      </c>
      <c r="P77" s="440" t="e">
        <f t="shared" si="47"/>
        <v>#N/A</v>
      </c>
      <c r="Q77" s="440" t="e">
        <f t="shared" si="47"/>
        <v>#N/A</v>
      </c>
      <c r="R77" s="440" t="e">
        <f t="shared" si="47"/>
        <v>#N/A</v>
      </c>
      <c r="S77" s="440" t="e">
        <f t="shared" si="47"/>
        <v>#N/A</v>
      </c>
      <c r="T77" s="16"/>
      <c r="U77" s="16"/>
    </row>
    <row r="78" spans="1:21" x14ac:dyDescent="0.3">
      <c r="A78" s="147" t="s">
        <v>416</v>
      </c>
      <c r="B78" s="144" t="s">
        <v>417</v>
      </c>
      <c r="C78" s="300" t="e">
        <f>'DG CFF calcul'!AH8</f>
        <v>#N/A</v>
      </c>
      <c r="D78" s="145" t="e">
        <f>'DG CFF calcul'!AH25</f>
        <v>#N/A</v>
      </c>
      <c r="E78" s="300" t="e">
        <f>'DG CFF calcul'!AH42</f>
        <v>#N/A</v>
      </c>
      <c r="F78" s="300" t="e">
        <f>'DG CFF calcul'!AH59</f>
        <v>#N/A</v>
      </c>
      <c r="G78" s="300" t="e">
        <f>'DG CFF calcul'!AH76</f>
        <v>#N/A</v>
      </c>
      <c r="H78" s="301" t="e">
        <f>'DG CFF calcul'!AH93</f>
        <v>#N/A</v>
      </c>
      <c r="I78" s="440" t="e">
        <f>'DG CFF calcul'!$AH110</f>
        <v>#N/A</v>
      </c>
      <c r="J78" s="440" t="e">
        <f t="shared" ref="J78:S92" si="48">I78</f>
        <v>#N/A</v>
      </c>
      <c r="K78" s="440" t="e">
        <f t="shared" si="48"/>
        <v>#N/A</v>
      </c>
      <c r="L78" s="440" t="e">
        <f t="shared" si="48"/>
        <v>#N/A</v>
      </c>
      <c r="M78" s="440" t="e">
        <f t="shared" si="48"/>
        <v>#N/A</v>
      </c>
      <c r="N78" s="440" t="e">
        <f t="shared" si="48"/>
        <v>#N/A</v>
      </c>
      <c r="O78" s="440" t="e">
        <f t="shared" si="48"/>
        <v>#N/A</v>
      </c>
      <c r="P78" s="440" t="e">
        <f t="shared" si="48"/>
        <v>#N/A</v>
      </c>
      <c r="Q78" s="440" t="e">
        <f t="shared" si="48"/>
        <v>#N/A</v>
      </c>
      <c r="R78" s="440" t="e">
        <f t="shared" si="48"/>
        <v>#N/A</v>
      </c>
      <c r="S78" s="440" t="e">
        <f t="shared" si="48"/>
        <v>#N/A</v>
      </c>
      <c r="T78" s="16"/>
      <c r="U78" s="16"/>
    </row>
    <row r="79" spans="1:21" x14ac:dyDescent="0.3">
      <c r="A79" s="147" t="s">
        <v>418</v>
      </c>
      <c r="B79" s="144" t="s">
        <v>419</v>
      </c>
      <c r="C79" s="300" t="e">
        <f>'DG CFF calcul'!AH9</f>
        <v>#N/A</v>
      </c>
      <c r="D79" s="145" t="e">
        <f>'DG CFF calcul'!AH26</f>
        <v>#N/A</v>
      </c>
      <c r="E79" s="300" t="e">
        <f>'DG CFF calcul'!AH43</f>
        <v>#N/A</v>
      </c>
      <c r="F79" s="300" t="e">
        <f>'DG CFF calcul'!AH60</f>
        <v>#N/A</v>
      </c>
      <c r="G79" s="300" t="e">
        <f>'DG CFF calcul'!AH77</f>
        <v>#N/A</v>
      </c>
      <c r="H79" s="301" t="e">
        <f>'DG CFF calcul'!AH94</f>
        <v>#N/A</v>
      </c>
      <c r="I79" s="440" t="e">
        <f>'DG CFF calcul'!$AH111</f>
        <v>#N/A</v>
      </c>
      <c r="J79" s="440" t="e">
        <f t="shared" si="48"/>
        <v>#N/A</v>
      </c>
      <c r="K79" s="440" t="e">
        <f t="shared" si="48"/>
        <v>#N/A</v>
      </c>
      <c r="L79" s="440" t="e">
        <f t="shared" si="48"/>
        <v>#N/A</v>
      </c>
      <c r="M79" s="440" t="e">
        <f t="shared" si="48"/>
        <v>#N/A</v>
      </c>
      <c r="N79" s="440" t="e">
        <f t="shared" si="48"/>
        <v>#N/A</v>
      </c>
      <c r="O79" s="440" t="e">
        <f t="shared" si="48"/>
        <v>#N/A</v>
      </c>
      <c r="P79" s="440" t="e">
        <f t="shared" si="48"/>
        <v>#N/A</v>
      </c>
      <c r="Q79" s="440" t="e">
        <f t="shared" si="48"/>
        <v>#N/A</v>
      </c>
      <c r="R79" s="440" t="e">
        <f t="shared" si="48"/>
        <v>#N/A</v>
      </c>
      <c r="S79" s="440" t="e">
        <f t="shared" si="48"/>
        <v>#N/A</v>
      </c>
      <c r="T79" s="16"/>
      <c r="U79" s="16"/>
    </row>
    <row r="80" spans="1:21" x14ac:dyDescent="0.3">
      <c r="A80" s="143" t="s">
        <v>328</v>
      </c>
      <c r="B80" s="144" t="s">
        <v>342</v>
      </c>
      <c r="C80" s="300" t="e">
        <f>'DG CFF calcul'!AH10</f>
        <v>#N/A</v>
      </c>
      <c r="D80" s="145" t="e">
        <f>'DG CFF calcul'!AH27</f>
        <v>#N/A</v>
      </c>
      <c r="E80" s="300" t="e">
        <f>'DG CFF calcul'!AH44</f>
        <v>#N/A</v>
      </c>
      <c r="F80" s="300" t="e">
        <f>'DG CFF calcul'!AH61</f>
        <v>#N/A</v>
      </c>
      <c r="G80" s="300" t="e">
        <f>'DG CFF calcul'!AH78</f>
        <v>#N/A</v>
      </c>
      <c r="H80" s="301" t="e">
        <f>'DG CFF calcul'!AH95</f>
        <v>#N/A</v>
      </c>
      <c r="I80" s="440" t="e">
        <f>'DG CFF calcul'!$AH112</f>
        <v>#N/A</v>
      </c>
      <c r="J80" s="440" t="e">
        <f t="shared" si="48"/>
        <v>#N/A</v>
      </c>
      <c r="K80" s="440" t="e">
        <f t="shared" si="48"/>
        <v>#N/A</v>
      </c>
      <c r="L80" s="440" t="e">
        <f t="shared" si="48"/>
        <v>#N/A</v>
      </c>
      <c r="M80" s="440" t="e">
        <f t="shared" si="48"/>
        <v>#N/A</v>
      </c>
      <c r="N80" s="440" t="e">
        <f t="shared" si="48"/>
        <v>#N/A</v>
      </c>
      <c r="O80" s="440" t="e">
        <f t="shared" si="48"/>
        <v>#N/A</v>
      </c>
      <c r="P80" s="440" t="e">
        <f t="shared" si="48"/>
        <v>#N/A</v>
      </c>
      <c r="Q80" s="440" t="e">
        <f t="shared" si="48"/>
        <v>#N/A</v>
      </c>
      <c r="R80" s="440" t="e">
        <f t="shared" si="48"/>
        <v>#N/A</v>
      </c>
      <c r="S80" s="440" t="e">
        <f t="shared" si="48"/>
        <v>#N/A</v>
      </c>
      <c r="T80" s="16"/>
      <c r="U80" s="16"/>
    </row>
    <row r="81" spans="1:21" x14ac:dyDescent="0.3">
      <c r="A81" s="147" t="s">
        <v>329</v>
      </c>
      <c r="B81" s="144" t="s">
        <v>343</v>
      </c>
      <c r="C81" s="300" t="e">
        <f>'DG CFF calcul'!AH11</f>
        <v>#N/A</v>
      </c>
      <c r="D81" s="145" t="e">
        <f>'DG CFF calcul'!AH28</f>
        <v>#N/A</v>
      </c>
      <c r="E81" s="300" t="e">
        <f>'DG CFF calcul'!AH45</f>
        <v>#N/A</v>
      </c>
      <c r="F81" s="300" t="e">
        <f>'DG CFF calcul'!AH62</f>
        <v>#N/A</v>
      </c>
      <c r="G81" s="300" t="e">
        <f>'DG CFF calcul'!AH79</f>
        <v>#N/A</v>
      </c>
      <c r="H81" s="301" t="e">
        <f>'DG CFF calcul'!AH96</f>
        <v>#N/A</v>
      </c>
      <c r="I81" s="440" t="e">
        <f>'DG CFF calcul'!$AH113</f>
        <v>#N/A</v>
      </c>
      <c r="J81" s="440" t="e">
        <f t="shared" si="48"/>
        <v>#N/A</v>
      </c>
      <c r="K81" s="440" t="e">
        <f t="shared" si="48"/>
        <v>#N/A</v>
      </c>
      <c r="L81" s="440" t="e">
        <f t="shared" si="48"/>
        <v>#N/A</v>
      </c>
      <c r="M81" s="440" t="e">
        <f t="shared" si="48"/>
        <v>#N/A</v>
      </c>
      <c r="N81" s="440" t="e">
        <f t="shared" si="48"/>
        <v>#N/A</v>
      </c>
      <c r="O81" s="440" t="e">
        <f t="shared" si="48"/>
        <v>#N/A</v>
      </c>
      <c r="P81" s="440" t="e">
        <f t="shared" si="48"/>
        <v>#N/A</v>
      </c>
      <c r="Q81" s="440" t="e">
        <f t="shared" si="48"/>
        <v>#N/A</v>
      </c>
      <c r="R81" s="440" t="e">
        <f t="shared" si="48"/>
        <v>#N/A</v>
      </c>
      <c r="S81" s="440" t="e">
        <f t="shared" si="48"/>
        <v>#N/A</v>
      </c>
      <c r="T81" s="16"/>
      <c r="U81" s="16"/>
    </row>
    <row r="82" spans="1:21" x14ac:dyDescent="0.3">
      <c r="A82" s="147" t="s">
        <v>420</v>
      </c>
      <c r="B82" s="144" t="s">
        <v>421</v>
      </c>
      <c r="C82" s="300" t="e">
        <f>'DG CFF calcul'!AH12</f>
        <v>#N/A</v>
      </c>
      <c r="D82" s="145" t="e">
        <f>'DG CFF calcul'!AH29</f>
        <v>#N/A</v>
      </c>
      <c r="E82" s="300" t="e">
        <f>'DG CFF calcul'!AH46</f>
        <v>#N/A</v>
      </c>
      <c r="F82" s="300" t="e">
        <f>'DG CFF calcul'!AH63</f>
        <v>#N/A</v>
      </c>
      <c r="G82" s="300" t="e">
        <f>'DG CFF calcul'!AH80</f>
        <v>#N/A</v>
      </c>
      <c r="H82" s="301" t="e">
        <f>'DG CFF calcul'!AH97</f>
        <v>#N/A</v>
      </c>
      <c r="I82" s="440" t="e">
        <f>'DG CFF calcul'!$AH114</f>
        <v>#N/A</v>
      </c>
      <c r="J82" s="440" t="e">
        <f t="shared" si="48"/>
        <v>#N/A</v>
      </c>
      <c r="K82" s="440" t="e">
        <f t="shared" si="48"/>
        <v>#N/A</v>
      </c>
      <c r="L82" s="440" t="e">
        <f t="shared" si="48"/>
        <v>#N/A</v>
      </c>
      <c r="M82" s="440" t="e">
        <f t="shared" si="48"/>
        <v>#N/A</v>
      </c>
      <c r="N82" s="440" t="e">
        <f t="shared" si="48"/>
        <v>#N/A</v>
      </c>
      <c r="O82" s="440" t="e">
        <f t="shared" si="48"/>
        <v>#N/A</v>
      </c>
      <c r="P82" s="440" t="e">
        <f t="shared" si="48"/>
        <v>#N/A</v>
      </c>
      <c r="Q82" s="440" t="e">
        <f t="shared" si="48"/>
        <v>#N/A</v>
      </c>
      <c r="R82" s="440" t="e">
        <f t="shared" si="48"/>
        <v>#N/A</v>
      </c>
      <c r="S82" s="440" t="e">
        <f t="shared" si="48"/>
        <v>#N/A</v>
      </c>
      <c r="T82" s="16"/>
      <c r="U82" s="16"/>
    </row>
    <row r="83" spans="1:21" x14ac:dyDescent="0.3">
      <c r="A83" s="147" t="s">
        <v>422</v>
      </c>
      <c r="B83" s="144" t="s">
        <v>421</v>
      </c>
      <c r="C83" s="300" t="e">
        <f>'DG CFF calcul'!AH13</f>
        <v>#N/A</v>
      </c>
      <c r="D83" s="145" t="e">
        <f>'DG CFF calcul'!AH30</f>
        <v>#N/A</v>
      </c>
      <c r="E83" s="300" t="e">
        <f>'DG CFF calcul'!AH47</f>
        <v>#N/A</v>
      </c>
      <c r="F83" s="300" t="e">
        <f>'DG CFF calcul'!AH64</f>
        <v>#N/A</v>
      </c>
      <c r="G83" s="300" t="e">
        <f>'DG CFF calcul'!AH81</f>
        <v>#N/A</v>
      </c>
      <c r="H83" s="301" t="e">
        <f>'DG CFF calcul'!AH98</f>
        <v>#N/A</v>
      </c>
      <c r="I83" s="440" t="e">
        <f>'DG CFF calcul'!$AH115</f>
        <v>#N/A</v>
      </c>
      <c r="J83" s="440" t="e">
        <f t="shared" si="48"/>
        <v>#N/A</v>
      </c>
      <c r="K83" s="440" t="e">
        <f t="shared" si="48"/>
        <v>#N/A</v>
      </c>
      <c r="L83" s="440" t="e">
        <f t="shared" si="48"/>
        <v>#N/A</v>
      </c>
      <c r="M83" s="440" t="e">
        <f t="shared" si="48"/>
        <v>#N/A</v>
      </c>
      <c r="N83" s="440" t="e">
        <f t="shared" si="48"/>
        <v>#N/A</v>
      </c>
      <c r="O83" s="440" t="e">
        <f t="shared" si="48"/>
        <v>#N/A</v>
      </c>
      <c r="P83" s="440" t="e">
        <f t="shared" si="48"/>
        <v>#N/A</v>
      </c>
      <c r="Q83" s="440" t="e">
        <f t="shared" si="48"/>
        <v>#N/A</v>
      </c>
      <c r="R83" s="440" t="e">
        <f t="shared" si="48"/>
        <v>#N/A</v>
      </c>
      <c r="S83" s="440" t="e">
        <f t="shared" si="48"/>
        <v>#N/A</v>
      </c>
      <c r="T83" s="16"/>
      <c r="U83" s="16"/>
    </row>
    <row r="84" spans="1:21" x14ac:dyDescent="0.3">
      <c r="A84" s="147" t="s">
        <v>330</v>
      </c>
      <c r="B84" s="144" t="s">
        <v>344</v>
      </c>
      <c r="C84" s="300" t="e">
        <f>'DG CFF calcul'!AH14</f>
        <v>#N/A</v>
      </c>
      <c r="D84" s="145" t="e">
        <f>'DG CFF calcul'!AH31</f>
        <v>#N/A</v>
      </c>
      <c r="E84" s="300" t="e">
        <f>'DG CFF calcul'!AH48</f>
        <v>#N/A</v>
      </c>
      <c r="F84" s="300" t="e">
        <f>'DG CFF calcul'!AH65</f>
        <v>#N/A</v>
      </c>
      <c r="G84" s="300" t="e">
        <f>'DG CFF calcul'!AH82</f>
        <v>#N/A</v>
      </c>
      <c r="H84" s="301" t="e">
        <f>'DG CFF calcul'!AH99</f>
        <v>#N/A</v>
      </c>
      <c r="I84" s="440" t="e">
        <f>'DG CFF calcul'!$AH116</f>
        <v>#N/A</v>
      </c>
      <c r="J84" s="440" t="e">
        <f t="shared" si="48"/>
        <v>#N/A</v>
      </c>
      <c r="K84" s="440" t="e">
        <f t="shared" si="48"/>
        <v>#N/A</v>
      </c>
      <c r="L84" s="440" t="e">
        <f t="shared" si="48"/>
        <v>#N/A</v>
      </c>
      <c r="M84" s="440" t="e">
        <f t="shared" si="48"/>
        <v>#N/A</v>
      </c>
      <c r="N84" s="440" t="e">
        <f t="shared" si="48"/>
        <v>#N/A</v>
      </c>
      <c r="O84" s="440" t="e">
        <f t="shared" si="48"/>
        <v>#N/A</v>
      </c>
      <c r="P84" s="440" t="e">
        <f t="shared" si="48"/>
        <v>#N/A</v>
      </c>
      <c r="Q84" s="440" t="e">
        <f t="shared" si="48"/>
        <v>#N/A</v>
      </c>
      <c r="R84" s="440" t="e">
        <f t="shared" si="48"/>
        <v>#N/A</v>
      </c>
      <c r="S84" s="440" t="e">
        <f t="shared" si="48"/>
        <v>#N/A</v>
      </c>
      <c r="T84" s="16"/>
      <c r="U84" s="16"/>
    </row>
    <row r="85" spans="1:21" x14ac:dyDescent="0.3">
      <c r="A85" s="147" t="s">
        <v>331</v>
      </c>
      <c r="B85" s="144" t="s">
        <v>345</v>
      </c>
      <c r="C85" s="300" t="e">
        <f>'DG CFF calcul'!AH15</f>
        <v>#N/A</v>
      </c>
      <c r="D85" s="145" t="e">
        <f>'DG CFF calcul'!AH32</f>
        <v>#N/A</v>
      </c>
      <c r="E85" s="300" t="e">
        <f>'DG CFF calcul'!AH49</f>
        <v>#N/A</v>
      </c>
      <c r="F85" s="300" t="e">
        <f>'DG CFF calcul'!AH66</f>
        <v>#N/A</v>
      </c>
      <c r="G85" s="300" t="e">
        <f>'DG CFF calcul'!AH83</f>
        <v>#N/A</v>
      </c>
      <c r="H85" s="301" t="e">
        <f>'DG CFF calcul'!AH100</f>
        <v>#N/A</v>
      </c>
      <c r="I85" s="440" t="e">
        <f>'DG CFF calcul'!$AH117</f>
        <v>#N/A</v>
      </c>
      <c r="J85" s="440" t="e">
        <f t="shared" si="48"/>
        <v>#N/A</v>
      </c>
      <c r="K85" s="440" t="e">
        <f t="shared" si="48"/>
        <v>#N/A</v>
      </c>
      <c r="L85" s="440" t="e">
        <f t="shared" si="48"/>
        <v>#N/A</v>
      </c>
      <c r="M85" s="440" t="e">
        <f t="shared" si="48"/>
        <v>#N/A</v>
      </c>
      <c r="N85" s="440" t="e">
        <f t="shared" si="48"/>
        <v>#N/A</v>
      </c>
      <c r="O85" s="440" t="e">
        <f t="shared" si="48"/>
        <v>#N/A</v>
      </c>
      <c r="P85" s="440" t="e">
        <f t="shared" si="48"/>
        <v>#N/A</v>
      </c>
      <c r="Q85" s="440" t="e">
        <f t="shared" si="48"/>
        <v>#N/A</v>
      </c>
      <c r="R85" s="440" t="e">
        <f t="shared" si="48"/>
        <v>#N/A</v>
      </c>
      <c r="S85" s="440" t="e">
        <f t="shared" si="48"/>
        <v>#N/A</v>
      </c>
      <c r="T85" s="16"/>
      <c r="U85" s="16"/>
    </row>
    <row r="86" spans="1:21" x14ac:dyDescent="0.3">
      <c r="A86" s="147" t="s">
        <v>423</v>
      </c>
      <c r="B86" s="144" t="s">
        <v>424</v>
      </c>
      <c r="C86" s="300" t="e">
        <f>'DG CFF calcul'!AH16</f>
        <v>#N/A</v>
      </c>
      <c r="D86" s="145" t="e">
        <f>'DG CFF calcul'!AH33</f>
        <v>#N/A</v>
      </c>
      <c r="E86" s="300" t="e">
        <f>'DG CFF calcul'!AH50</f>
        <v>#N/A</v>
      </c>
      <c r="F86" s="300" t="e">
        <f>'DG CFF calcul'!AH67</f>
        <v>#N/A</v>
      </c>
      <c r="G86" s="300" t="e">
        <f>'DG CFF calcul'!AH84</f>
        <v>#N/A</v>
      </c>
      <c r="H86" s="301" t="e">
        <f>'DG CFF calcul'!AH101</f>
        <v>#N/A</v>
      </c>
      <c r="I86" s="440" t="e">
        <f>'DG CFF calcul'!$AH118</f>
        <v>#N/A</v>
      </c>
      <c r="J86" s="440" t="e">
        <f t="shared" si="48"/>
        <v>#N/A</v>
      </c>
      <c r="K86" s="440" t="e">
        <f t="shared" si="48"/>
        <v>#N/A</v>
      </c>
      <c r="L86" s="440" t="e">
        <f t="shared" si="48"/>
        <v>#N/A</v>
      </c>
      <c r="M86" s="440" t="e">
        <f t="shared" si="48"/>
        <v>#N/A</v>
      </c>
      <c r="N86" s="440" t="e">
        <f t="shared" si="48"/>
        <v>#N/A</v>
      </c>
      <c r="O86" s="440" t="e">
        <f t="shared" si="48"/>
        <v>#N/A</v>
      </c>
      <c r="P86" s="440" t="e">
        <f t="shared" si="48"/>
        <v>#N/A</v>
      </c>
      <c r="Q86" s="440" t="e">
        <f t="shared" si="48"/>
        <v>#N/A</v>
      </c>
      <c r="R86" s="440" t="e">
        <f t="shared" si="48"/>
        <v>#N/A</v>
      </c>
      <c r="S86" s="440" t="e">
        <f t="shared" si="48"/>
        <v>#N/A</v>
      </c>
      <c r="T86" s="16"/>
      <c r="U86" s="16"/>
    </row>
    <row r="87" spans="1:21" x14ac:dyDescent="0.3">
      <c r="A87" s="147" t="s">
        <v>425</v>
      </c>
      <c r="B87" s="144" t="s">
        <v>426</v>
      </c>
      <c r="C87" s="300" t="e">
        <f>'DG CFF calcul'!AH17</f>
        <v>#N/A</v>
      </c>
      <c r="D87" s="145" t="e">
        <f>'DG CFF calcul'!AH34</f>
        <v>#N/A</v>
      </c>
      <c r="E87" s="300" t="e">
        <f>'DG CFF calcul'!AH51</f>
        <v>#N/A</v>
      </c>
      <c r="F87" s="300" t="e">
        <f>'DG CFF calcul'!AH68</f>
        <v>#N/A</v>
      </c>
      <c r="G87" s="300" t="e">
        <f>'DG CFF calcul'!AH85</f>
        <v>#N/A</v>
      </c>
      <c r="H87" s="301" t="e">
        <f>'DG CFF calcul'!AH102</f>
        <v>#N/A</v>
      </c>
      <c r="I87" s="440" t="e">
        <f>'DG CFF calcul'!$AH119</f>
        <v>#N/A</v>
      </c>
      <c r="J87" s="440" t="e">
        <f t="shared" si="48"/>
        <v>#N/A</v>
      </c>
      <c r="K87" s="440" t="e">
        <f t="shared" si="48"/>
        <v>#N/A</v>
      </c>
      <c r="L87" s="440" t="e">
        <f t="shared" si="48"/>
        <v>#N/A</v>
      </c>
      <c r="M87" s="440" t="e">
        <f t="shared" si="48"/>
        <v>#N/A</v>
      </c>
      <c r="N87" s="440" t="e">
        <f t="shared" si="48"/>
        <v>#N/A</v>
      </c>
      <c r="O87" s="440" t="e">
        <f t="shared" si="48"/>
        <v>#N/A</v>
      </c>
      <c r="P87" s="440" t="e">
        <f t="shared" si="48"/>
        <v>#N/A</v>
      </c>
      <c r="Q87" s="440" t="e">
        <f t="shared" si="48"/>
        <v>#N/A</v>
      </c>
      <c r="R87" s="440" t="e">
        <f t="shared" si="48"/>
        <v>#N/A</v>
      </c>
      <c r="S87" s="440" t="e">
        <f t="shared" si="48"/>
        <v>#N/A</v>
      </c>
      <c r="T87" s="16"/>
      <c r="U87" s="16"/>
    </row>
    <row r="88" spans="1:21" x14ac:dyDescent="0.3">
      <c r="A88" s="147" t="s">
        <v>427</v>
      </c>
      <c r="B88" s="144" t="s">
        <v>428</v>
      </c>
      <c r="C88" s="300" t="e">
        <f>'DG CFF calcul'!AH18</f>
        <v>#N/A</v>
      </c>
      <c r="D88" s="145" t="e">
        <f>'DG CFF calcul'!AH35</f>
        <v>#N/A</v>
      </c>
      <c r="E88" s="300" t="e">
        <f>'DG CFF calcul'!AH52</f>
        <v>#N/A</v>
      </c>
      <c r="F88" s="300" t="e">
        <f>'DG CFF calcul'!AH69</f>
        <v>#N/A</v>
      </c>
      <c r="G88" s="300" t="e">
        <f>'DG CFF calcul'!AH86</f>
        <v>#N/A</v>
      </c>
      <c r="H88" s="301" t="e">
        <f>'DG CFF calcul'!AH103</f>
        <v>#N/A</v>
      </c>
      <c r="I88" s="440" t="e">
        <f>'DG CFF calcul'!$AH120</f>
        <v>#N/A</v>
      </c>
      <c r="J88" s="440" t="e">
        <f t="shared" si="48"/>
        <v>#N/A</v>
      </c>
      <c r="K88" s="440" t="e">
        <f t="shared" si="48"/>
        <v>#N/A</v>
      </c>
      <c r="L88" s="440" t="e">
        <f t="shared" si="48"/>
        <v>#N/A</v>
      </c>
      <c r="M88" s="440" t="e">
        <f t="shared" si="48"/>
        <v>#N/A</v>
      </c>
      <c r="N88" s="440" t="e">
        <f t="shared" si="48"/>
        <v>#N/A</v>
      </c>
      <c r="O88" s="440" t="e">
        <f t="shared" si="48"/>
        <v>#N/A</v>
      </c>
      <c r="P88" s="440" t="e">
        <f t="shared" si="48"/>
        <v>#N/A</v>
      </c>
      <c r="Q88" s="440" t="e">
        <f t="shared" si="48"/>
        <v>#N/A</v>
      </c>
      <c r="R88" s="440" t="e">
        <f t="shared" si="48"/>
        <v>#N/A</v>
      </c>
      <c r="S88" s="440" t="e">
        <f t="shared" si="48"/>
        <v>#N/A</v>
      </c>
      <c r="T88" s="16"/>
      <c r="U88" s="16"/>
    </row>
    <row r="89" spans="1:21" x14ac:dyDescent="0.3">
      <c r="A89" s="147" t="s">
        <v>429</v>
      </c>
      <c r="B89" s="144" t="s">
        <v>430</v>
      </c>
      <c r="C89" s="300" t="e">
        <f>'DG CFF calcul'!AH19</f>
        <v>#N/A</v>
      </c>
      <c r="D89" s="145" t="e">
        <f>'DG CFF calcul'!AH36</f>
        <v>#N/A</v>
      </c>
      <c r="E89" s="300" t="e">
        <f>'DG CFF calcul'!AH53</f>
        <v>#N/A</v>
      </c>
      <c r="F89" s="300" t="e">
        <f>'DG CFF calcul'!AH70</f>
        <v>#N/A</v>
      </c>
      <c r="G89" s="300" t="e">
        <f>'DG CFF calcul'!AH87</f>
        <v>#N/A</v>
      </c>
      <c r="H89" s="301" t="e">
        <f>'DG CFF calcul'!AH104</f>
        <v>#N/A</v>
      </c>
      <c r="I89" s="440" t="e">
        <f>'DG CFF calcul'!$AH121</f>
        <v>#N/A</v>
      </c>
      <c r="J89" s="440" t="e">
        <f t="shared" si="48"/>
        <v>#N/A</v>
      </c>
      <c r="K89" s="440" t="e">
        <f t="shared" si="48"/>
        <v>#N/A</v>
      </c>
      <c r="L89" s="440" t="e">
        <f t="shared" si="48"/>
        <v>#N/A</v>
      </c>
      <c r="M89" s="440" t="e">
        <f t="shared" si="48"/>
        <v>#N/A</v>
      </c>
      <c r="N89" s="440" t="e">
        <f t="shared" si="48"/>
        <v>#N/A</v>
      </c>
      <c r="O89" s="440" t="e">
        <f t="shared" si="48"/>
        <v>#N/A</v>
      </c>
      <c r="P89" s="440" t="e">
        <f t="shared" si="48"/>
        <v>#N/A</v>
      </c>
      <c r="Q89" s="440" t="e">
        <f t="shared" si="48"/>
        <v>#N/A</v>
      </c>
      <c r="R89" s="440" t="e">
        <f t="shared" si="48"/>
        <v>#N/A</v>
      </c>
      <c r="S89" s="440" t="e">
        <f t="shared" si="48"/>
        <v>#N/A</v>
      </c>
    </row>
    <row r="90" spans="1:21" x14ac:dyDescent="0.3">
      <c r="A90" s="147" t="s">
        <v>332</v>
      </c>
      <c r="B90" s="144" t="s">
        <v>431</v>
      </c>
      <c r="C90" s="300" t="e">
        <f>'DG CFF calcul'!AH20</f>
        <v>#N/A</v>
      </c>
      <c r="D90" s="145" t="e">
        <f>'DG CFF calcul'!AH37</f>
        <v>#N/A</v>
      </c>
      <c r="E90" s="300" t="e">
        <f>'DG CFF calcul'!AH54</f>
        <v>#N/A</v>
      </c>
      <c r="F90" s="300" t="e">
        <f>'DG CFF calcul'!AH71</f>
        <v>#N/A</v>
      </c>
      <c r="G90" s="300" t="e">
        <f>'DG CFF calcul'!AH88</f>
        <v>#N/A</v>
      </c>
      <c r="H90" s="301" t="e">
        <f>'DG CFF calcul'!AH105</f>
        <v>#N/A</v>
      </c>
      <c r="I90" s="440" t="e">
        <f>'DG CFF calcul'!$AH122</f>
        <v>#N/A</v>
      </c>
      <c r="J90" s="440" t="e">
        <f t="shared" si="48"/>
        <v>#N/A</v>
      </c>
      <c r="K90" s="440" t="e">
        <f t="shared" si="48"/>
        <v>#N/A</v>
      </c>
      <c r="L90" s="440" t="e">
        <f t="shared" si="48"/>
        <v>#N/A</v>
      </c>
      <c r="M90" s="440" t="e">
        <f t="shared" si="48"/>
        <v>#N/A</v>
      </c>
      <c r="N90" s="440" t="e">
        <f t="shared" si="48"/>
        <v>#N/A</v>
      </c>
      <c r="O90" s="440" t="e">
        <f t="shared" si="48"/>
        <v>#N/A</v>
      </c>
      <c r="P90" s="440" t="e">
        <f t="shared" si="48"/>
        <v>#N/A</v>
      </c>
      <c r="Q90" s="440" t="e">
        <f t="shared" si="48"/>
        <v>#N/A</v>
      </c>
      <c r="R90" s="440" t="e">
        <f t="shared" si="48"/>
        <v>#N/A</v>
      </c>
      <c r="S90" s="440" t="e">
        <f t="shared" si="48"/>
        <v>#N/A</v>
      </c>
    </row>
    <row r="91" spans="1:21" x14ac:dyDescent="0.3">
      <c r="A91" s="147" t="s">
        <v>432</v>
      </c>
      <c r="B91" s="144" t="s">
        <v>347</v>
      </c>
      <c r="C91" s="300" t="e">
        <f>'DG CFF calcul'!AH21</f>
        <v>#N/A</v>
      </c>
      <c r="D91" s="145" t="e">
        <f>'DG CFF calcul'!AH38</f>
        <v>#N/A</v>
      </c>
      <c r="E91" s="300" t="e">
        <f>'DG CFF calcul'!AH55</f>
        <v>#N/A</v>
      </c>
      <c r="F91" s="300" t="e">
        <f>'DG CFF calcul'!AH72</f>
        <v>#N/A</v>
      </c>
      <c r="G91" s="300" t="e">
        <f>'DG CFF calcul'!AH89</f>
        <v>#N/A</v>
      </c>
      <c r="H91" s="301" t="e">
        <f>'DG CFF calcul'!AH106</f>
        <v>#N/A</v>
      </c>
      <c r="I91" s="440" t="e">
        <f>'DG CFF calcul'!$AH123</f>
        <v>#N/A</v>
      </c>
      <c r="J91" s="440" t="e">
        <f t="shared" si="48"/>
        <v>#N/A</v>
      </c>
      <c r="K91" s="440" t="e">
        <f t="shared" si="48"/>
        <v>#N/A</v>
      </c>
      <c r="L91" s="440" t="e">
        <f t="shared" si="48"/>
        <v>#N/A</v>
      </c>
      <c r="M91" s="440" t="e">
        <f t="shared" si="48"/>
        <v>#N/A</v>
      </c>
      <c r="N91" s="440" t="e">
        <f t="shared" si="48"/>
        <v>#N/A</v>
      </c>
      <c r="O91" s="440" t="e">
        <f t="shared" si="48"/>
        <v>#N/A</v>
      </c>
      <c r="P91" s="440" t="e">
        <f t="shared" si="48"/>
        <v>#N/A</v>
      </c>
      <c r="Q91" s="440" t="e">
        <f t="shared" si="48"/>
        <v>#N/A</v>
      </c>
      <c r="R91" s="440" t="e">
        <f t="shared" si="48"/>
        <v>#N/A</v>
      </c>
      <c r="S91" s="440" t="e">
        <f t="shared" si="48"/>
        <v>#N/A</v>
      </c>
    </row>
    <row r="92" spans="1:21" x14ac:dyDescent="0.3">
      <c r="A92" s="147" t="s">
        <v>334</v>
      </c>
      <c r="B92" s="144" t="s">
        <v>348</v>
      </c>
      <c r="C92" s="300" t="e">
        <f>'DG CFF calcul'!AH22</f>
        <v>#N/A</v>
      </c>
      <c r="D92" s="145" t="e">
        <f>'DG CFF calcul'!AH39</f>
        <v>#N/A</v>
      </c>
      <c r="E92" s="300" t="e">
        <f>'DG CFF calcul'!AH56</f>
        <v>#N/A</v>
      </c>
      <c r="F92" s="300" t="e">
        <f>'DG CFF calcul'!AH73</f>
        <v>#N/A</v>
      </c>
      <c r="G92" s="300" t="e">
        <f>'DG CFF calcul'!AH90</f>
        <v>#N/A</v>
      </c>
      <c r="H92" s="301" t="e">
        <f>'DG CFF calcul'!AH107</f>
        <v>#N/A</v>
      </c>
      <c r="I92" s="440" t="e">
        <f>'DG CFF calcul'!$AH124</f>
        <v>#N/A</v>
      </c>
      <c r="J92" s="440" t="e">
        <f t="shared" si="48"/>
        <v>#N/A</v>
      </c>
      <c r="K92" s="440" t="e">
        <f t="shared" si="48"/>
        <v>#N/A</v>
      </c>
      <c r="L92" s="440" t="e">
        <f t="shared" si="48"/>
        <v>#N/A</v>
      </c>
      <c r="M92" s="440" t="e">
        <f t="shared" si="48"/>
        <v>#N/A</v>
      </c>
      <c r="N92" s="440" t="e">
        <f t="shared" si="48"/>
        <v>#N/A</v>
      </c>
      <c r="O92" s="440" t="e">
        <f t="shared" si="48"/>
        <v>#N/A</v>
      </c>
      <c r="P92" s="440" t="e">
        <f t="shared" si="48"/>
        <v>#N/A</v>
      </c>
      <c r="Q92" s="440" t="e">
        <f t="shared" si="48"/>
        <v>#N/A</v>
      </c>
      <c r="R92" s="440" t="e">
        <f t="shared" si="48"/>
        <v>#N/A</v>
      </c>
      <c r="S92" s="440" t="e">
        <f t="shared" si="48"/>
        <v>#N/A</v>
      </c>
    </row>
    <row r="93" spans="1:21" ht="15" thickBot="1" x14ac:dyDescent="0.35">
      <c r="G93" s="309"/>
    </row>
    <row r="94" spans="1:21" ht="150.44999999999999" customHeight="1" x14ac:dyDescent="0.3">
      <c r="A94" s="310" t="s">
        <v>548</v>
      </c>
      <c r="B94" s="311" t="s">
        <v>401</v>
      </c>
      <c r="C94" s="312" t="s">
        <v>402</v>
      </c>
      <c r="D94" s="312" t="s">
        <v>403</v>
      </c>
      <c r="E94" s="312" t="s">
        <v>404</v>
      </c>
      <c r="F94" s="312" t="s">
        <v>196</v>
      </c>
      <c r="G94" s="312" t="s">
        <v>302</v>
      </c>
      <c r="H94" s="312" t="s">
        <v>303</v>
      </c>
      <c r="I94" s="313" t="s">
        <v>402</v>
      </c>
      <c r="J94" s="313" t="s">
        <v>403</v>
      </c>
      <c r="K94" s="313" t="s">
        <v>404</v>
      </c>
      <c r="L94" s="313" t="s">
        <v>196</v>
      </c>
      <c r="M94" s="313" t="s">
        <v>302</v>
      </c>
      <c r="N94" s="313" t="s">
        <v>303</v>
      </c>
      <c r="O94" s="314" t="s">
        <v>402</v>
      </c>
      <c r="P94" s="314" t="s">
        <v>403</v>
      </c>
      <c r="Q94" s="314" t="s">
        <v>404</v>
      </c>
      <c r="R94" s="314" t="s">
        <v>196</v>
      </c>
      <c r="S94" s="314" t="s">
        <v>302</v>
      </c>
      <c r="T94" s="314" t="s">
        <v>303</v>
      </c>
    </row>
    <row r="95" spans="1:21" x14ac:dyDescent="0.3">
      <c r="A95" s="143" t="s">
        <v>327</v>
      </c>
      <c r="B95" s="315" t="s">
        <v>336</v>
      </c>
      <c r="C95" s="145" t="e">
        <f>C77</f>
        <v>#N/A</v>
      </c>
      <c r="D95" s="145" t="e">
        <f>D77</f>
        <v>#N/A</v>
      </c>
      <c r="E95" s="316" t="e">
        <f>E77</f>
        <v>#N/A</v>
      </c>
      <c r="F95" s="145" t="e">
        <f>F77</f>
        <v>#N/A</v>
      </c>
      <c r="G95" s="145" t="e">
        <f t="shared" ref="G95:H110" si="49">G77</f>
        <v>#N/A</v>
      </c>
      <c r="H95" s="145" t="e">
        <f t="shared" si="49"/>
        <v>#N/A</v>
      </c>
      <c r="I95" s="145">
        <f t="shared" ref="I95:N110" si="50">C59</f>
        <v>-7.1919412000000002E-2</v>
      </c>
      <c r="J95" s="145">
        <f t="shared" si="50"/>
        <v>-7.1919412000000002E-2</v>
      </c>
      <c r="K95" s="145">
        <f t="shared" si="50"/>
        <v>-7.1919412000000002E-2</v>
      </c>
      <c r="L95" s="145">
        <f t="shared" si="50"/>
        <v>-7.1919412000000002E-2</v>
      </c>
      <c r="M95" s="145">
        <f t="shared" si="50"/>
        <v>-7.1919412000000002E-2</v>
      </c>
      <c r="N95" s="145">
        <f t="shared" si="50"/>
        <v>-0.56890596999999998</v>
      </c>
      <c r="O95" s="305" t="e">
        <f t="shared" ref="O95:T110" si="51">C23</f>
        <v>#N/A</v>
      </c>
      <c r="P95" s="305" t="e">
        <f t="shared" si="51"/>
        <v>#N/A</v>
      </c>
      <c r="Q95" s="305" t="e">
        <f t="shared" si="51"/>
        <v>#N/A</v>
      </c>
      <c r="R95" s="305" t="e">
        <f t="shared" si="51"/>
        <v>#N/A</v>
      </c>
      <c r="S95" s="305" t="e">
        <f t="shared" si="51"/>
        <v>#N/A</v>
      </c>
      <c r="T95" s="305" t="e">
        <f t="shared" si="51"/>
        <v>#N/A</v>
      </c>
    </row>
    <row r="96" spans="1:21" x14ac:dyDescent="0.3">
      <c r="A96" s="147" t="s">
        <v>416</v>
      </c>
      <c r="B96" s="315" t="s">
        <v>417</v>
      </c>
      <c r="C96" s="145" t="e">
        <f t="shared" ref="C96:F110" si="52">C78</f>
        <v>#N/A</v>
      </c>
      <c r="D96" s="145" t="e">
        <f t="shared" si="52"/>
        <v>#N/A</v>
      </c>
      <c r="E96" s="316" t="e">
        <f t="shared" si="52"/>
        <v>#N/A</v>
      </c>
      <c r="F96" s="145" t="e">
        <f t="shared" si="52"/>
        <v>#N/A</v>
      </c>
      <c r="G96" s="145" t="e">
        <f t="shared" si="49"/>
        <v>#N/A</v>
      </c>
      <c r="H96" s="145" t="e">
        <f t="shared" si="49"/>
        <v>#N/A</v>
      </c>
      <c r="I96" s="145">
        <f t="shared" si="50"/>
        <v>-2.2703682000000001E-9</v>
      </c>
      <c r="J96" s="145">
        <f t="shared" si="50"/>
        <v>-2.2703682000000001E-9</v>
      </c>
      <c r="K96" s="145">
        <f t="shared" si="50"/>
        <v>-2.2703682000000001E-9</v>
      </c>
      <c r="L96" s="145">
        <f t="shared" si="50"/>
        <v>-2.2703682000000001E-9</v>
      </c>
      <c r="M96" s="145">
        <f t="shared" si="50"/>
        <v>-2.2703682000000001E-9</v>
      </c>
      <c r="N96" s="145">
        <f t="shared" si="50"/>
        <v>-2.2703701999999999E-9</v>
      </c>
      <c r="O96" s="305" t="e">
        <f t="shared" si="51"/>
        <v>#N/A</v>
      </c>
      <c r="P96" s="305" t="e">
        <f t="shared" si="51"/>
        <v>#N/A</v>
      </c>
      <c r="Q96" s="305" t="e">
        <f t="shared" si="51"/>
        <v>#N/A</v>
      </c>
      <c r="R96" s="305">
        <f t="shared" si="51"/>
        <v>1.3179058E-8</v>
      </c>
      <c r="S96" s="305" t="e">
        <f t="shared" si="51"/>
        <v>#N/A</v>
      </c>
      <c r="T96" s="305" t="e">
        <f t="shared" si="51"/>
        <v>#N/A</v>
      </c>
    </row>
    <row r="97" spans="1:41" x14ac:dyDescent="0.3">
      <c r="A97" s="147" t="s">
        <v>418</v>
      </c>
      <c r="B97" s="315" t="s">
        <v>419</v>
      </c>
      <c r="C97" s="145" t="e">
        <f t="shared" si="52"/>
        <v>#N/A</v>
      </c>
      <c r="D97" s="145" t="e">
        <f t="shared" si="52"/>
        <v>#N/A</v>
      </c>
      <c r="E97" s="316" t="e">
        <f t="shared" si="52"/>
        <v>#N/A</v>
      </c>
      <c r="F97" s="145" t="e">
        <f t="shared" si="52"/>
        <v>#N/A</v>
      </c>
      <c r="G97" s="145" t="e">
        <f t="shared" si="49"/>
        <v>#N/A</v>
      </c>
      <c r="H97" s="145" t="e">
        <f t="shared" si="49"/>
        <v>#N/A</v>
      </c>
      <c r="I97" s="145">
        <f t="shared" si="50"/>
        <v>-3.5874136E-3</v>
      </c>
      <c r="J97" s="145">
        <f t="shared" si="50"/>
        <v>-3.5874136E-3</v>
      </c>
      <c r="K97" s="145">
        <f t="shared" si="50"/>
        <v>-3.5874136E-3</v>
      </c>
      <c r="L97" s="145">
        <f t="shared" si="50"/>
        <v>-3.5874136E-3</v>
      </c>
      <c r="M97" s="145">
        <f t="shared" si="50"/>
        <v>-3.5874136E-3</v>
      </c>
      <c r="N97" s="145">
        <f t="shared" si="50"/>
        <v>-3.5874167999999998E-3</v>
      </c>
      <c r="O97" s="305" t="e">
        <f t="shared" si="51"/>
        <v>#N/A</v>
      </c>
      <c r="P97" s="305" t="e">
        <f t="shared" si="51"/>
        <v>#N/A</v>
      </c>
      <c r="Q97" s="305" t="e">
        <f t="shared" si="51"/>
        <v>#N/A</v>
      </c>
      <c r="R97" s="305">
        <f t="shared" si="51"/>
        <v>0.15054982</v>
      </c>
      <c r="S97" s="305" t="e">
        <f t="shared" si="51"/>
        <v>#N/A</v>
      </c>
      <c r="T97" s="305" t="e">
        <f t="shared" si="51"/>
        <v>#N/A</v>
      </c>
    </row>
    <row r="98" spans="1:41" s="303" customFormat="1" x14ac:dyDescent="0.3">
      <c r="A98" s="143" t="s">
        <v>328</v>
      </c>
      <c r="B98" s="315" t="s">
        <v>342</v>
      </c>
      <c r="C98" s="145" t="e">
        <f t="shared" si="52"/>
        <v>#N/A</v>
      </c>
      <c r="D98" s="145" t="e">
        <f t="shared" si="52"/>
        <v>#N/A</v>
      </c>
      <c r="E98" s="316" t="e">
        <f t="shared" si="52"/>
        <v>#N/A</v>
      </c>
      <c r="F98" s="145" t="e">
        <f t="shared" si="52"/>
        <v>#N/A</v>
      </c>
      <c r="G98" s="145" t="e">
        <f t="shared" si="49"/>
        <v>#N/A</v>
      </c>
      <c r="H98" s="145" t="e">
        <f t="shared" si="49"/>
        <v>#N/A</v>
      </c>
      <c r="I98" s="145">
        <f t="shared" si="50"/>
        <v>-1.9214072000000001E-4</v>
      </c>
      <c r="J98" s="145">
        <f t="shared" si="50"/>
        <v>-1.9214072000000001E-4</v>
      </c>
      <c r="K98" s="145">
        <f t="shared" si="50"/>
        <v>-1.9214072000000001E-4</v>
      </c>
      <c r="L98" s="145">
        <f t="shared" si="50"/>
        <v>-1.9214072000000001E-4</v>
      </c>
      <c r="M98" s="145">
        <f t="shared" si="50"/>
        <v>-1.9214072000000001E-4</v>
      </c>
      <c r="N98" s="145">
        <f t="shared" si="50"/>
        <v>-4.6474944000000001E-4</v>
      </c>
      <c r="O98" s="305" t="e">
        <f t="shared" si="51"/>
        <v>#N/A</v>
      </c>
      <c r="P98" s="305" t="e">
        <f t="shared" si="51"/>
        <v>#N/A</v>
      </c>
      <c r="Q98" s="305" t="e">
        <f t="shared" si="51"/>
        <v>#N/A</v>
      </c>
      <c r="R98" s="305">
        <f t="shared" si="51"/>
        <v>1.0398085000000001E-3</v>
      </c>
      <c r="S98" s="305" t="e">
        <f t="shared" si="51"/>
        <v>#N/A</v>
      </c>
      <c r="T98" s="305" t="e">
        <f t="shared" si="51"/>
        <v>#N/A</v>
      </c>
    </row>
    <row r="99" spans="1:41" x14ac:dyDescent="0.3">
      <c r="A99" s="147" t="s">
        <v>329</v>
      </c>
      <c r="B99" s="315" t="s">
        <v>343</v>
      </c>
      <c r="C99" s="145" t="e">
        <f t="shared" si="52"/>
        <v>#N/A</v>
      </c>
      <c r="D99" s="145" t="e">
        <f t="shared" si="52"/>
        <v>#N/A</v>
      </c>
      <c r="E99" s="316" t="e">
        <f t="shared" si="52"/>
        <v>#N/A</v>
      </c>
      <c r="F99" s="145" t="e">
        <f t="shared" si="52"/>
        <v>#N/A</v>
      </c>
      <c r="G99" s="145" t="e">
        <f t="shared" si="49"/>
        <v>#N/A</v>
      </c>
      <c r="H99" s="145" t="e">
        <f t="shared" si="49"/>
        <v>#N/A</v>
      </c>
      <c r="I99" s="145">
        <f t="shared" si="50"/>
        <v>-2.2139156000000001E-8</v>
      </c>
      <c r="J99" s="145">
        <f t="shared" si="50"/>
        <v>-2.2139156000000001E-8</v>
      </c>
      <c r="K99" s="145">
        <f t="shared" si="50"/>
        <v>-2.2139156000000001E-8</v>
      </c>
      <c r="L99" s="145">
        <f t="shared" si="50"/>
        <v>-2.2139156000000001E-8</v>
      </c>
      <c r="M99" s="145">
        <f t="shared" si="50"/>
        <v>-2.2139156000000001E-8</v>
      </c>
      <c r="N99" s="145">
        <f t="shared" si="50"/>
        <v>-2.2663102999999999E-8</v>
      </c>
      <c r="O99" s="305" t="e">
        <f t="shared" si="51"/>
        <v>#N/A</v>
      </c>
      <c r="P99" s="305" t="e">
        <f t="shared" si="51"/>
        <v>#N/A</v>
      </c>
      <c r="Q99" s="305" t="e">
        <f t="shared" si="51"/>
        <v>#N/A</v>
      </c>
      <c r="R99" s="305">
        <f t="shared" si="51"/>
        <v>8.0780695000000003E-9</v>
      </c>
      <c r="S99" s="305" t="e">
        <f t="shared" si="51"/>
        <v>#N/A</v>
      </c>
      <c r="T99" s="305" t="e">
        <f t="shared" si="51"/>
        <v>#N/A</v>
      </c>
    </row>
    <row r="100" spans="1:41" x14ac:dyDescent="0.3">
      <c r="A100" s="147" t="s">
        <v>420</v>
      </c>
      <c r="B100" s="315" t="s">
        <v>421</v>
      </c>
      <c r="C100" s="145" t="e">
        <f t="shared" si="52"/>
        <v>#N/A</v>
      </c>
      <c r="D100" s="145" t="e">
        <f t="shared" si="52"/>
        <v>#N/A</v>
      </c>
      <c r="E100" s="316" t="e">
        <f t="shared" si="52"/>
        <v>#N/A</v>
      </c>
      <c r="F100" s="145" t="e">
        <f t="shared" si="52"/>
        <v>#N/A</v>
      </c>
      <c r="G100" s="145" t="e">
        <f t="shared" si="49"/>
        <v>#N/A</v>
      </c>
      <c r="H100" s="145" t="e">
        <f t="shared" si="49"/>
        <v>#N/A</v>
      </c>
      <c r="I100" s="145">
        <f t="shared" si="50"/>
        <v>-2.0773666000000001E-10</v>
      </c>
      <c r="J100" s="145">
        <f t="shared" si="50"/>
        <v>-2.0773666000000001E-10</v>
      </c>
      <c r="K100" s="145">
        <f t="shared" si="50"/>
        <v>-2.0773666000000001E-10</v>
      </c>
      <c r="L100" s="145">
        <f t="shared" si="50"/>
        <v>-2.0773666000000001E-10</v>
      </c>
      <c r="M100" s="145">
        <f t="shared" si="50"/>
        <v>-2.0773666000000001E-10</v>
      </c>
      <c r="N100" s="145">
        <f t="shared" si="50"/>
        <v>-6.9221840000000002E-10</v>
      </c>
      <c r="O100" s="305" t="e">
        <f t="shared" si="51"/>
        <v>#N/A</v>
      </c>
      <c r="P100" s="305" t="e">
        <f t="shared" si="51"/>
        <v>#N/A</v>
      </c>
      <c r="Q100" s="305" t="e">
        <f t="shared" si="51"/>
        <v>#N/A</v>
      </c>
      <c r="R100" s="305">
        <f t="shared" si="51"/>
        <v>2.2478817E-9</v>
      </c>
      <c r="S100" s="305" t="e">
        <f t="shared" si="51"/>
        <v>#N/A</v>
      </c>
      <c r="T100" s="305" t="e">
        <f t="shared" si="51"/>
        <v>#N/A</v>
      </c>
    </row>
    <row r="101" spans="1:41" s="16" customFormat="1" x14ac:dyDescent="0.3">
      <c r="A101" s="147" t="s">
        <v>422</v>
      </c>
      <c r="B101" s="315" t="s">
        <v>421</v>
      </c>
      <c r="C101" s="145" t="e">
        <f t="shared" si="52"/>
        <v>#N/A</v>
      </c>
      <c r="D101" s="145" t="e">
        <f t="shared" si="52"/>
        <v>#N/A</v>
      </c>
      <c r="E101" s="316" t="e">
        <f t="shared" si="52"/>
        <v>#N/A</v>
      </c>
      <c r="F101" s="145" t="e">
        <f t="shared" si="52"/>
        <v>#N/A</v>
      </c>
      <c r="G101" s="145" t="e">
        <f t="shared" si="49"/>
        <v>#N/A</v>
      </c>
      <c r="H101" s="145" t="e">
        <f t="shared" si="49"/>
        <v>#N/A</v>
      </c>
      <c r="I101" s="145">
        <f t="shared" si="50"/>
        <v>-1.9487869E-11</v>
      </c>
      <c r="J101" s="145">
        <f t="shared" si="50"/>
        <v>-1.9487869E-11</v>
      </c>
      <c r="K101" s="145">
        <f t="shared" si="50"/>
        <v>-1.9487869E-11</v>
      </c>
      <c r="L101" s="145">
        <f t="shared" si="50"/>
        <v>-1.9487869E-11</v>
      </c>
      <c r="M101" s="145">
        <f t="shared" si="50"/>
        <v>-1.9487869E-11</v>
      </c>
      <c r="N101" s="145">
        <f t="shared" si="50"/>
        <v>-8.0999601999999995E-12</v>
      </c>
      <c r="O101" s="305" t="e">
        <f t="shared" si="51"/>
        <v>#N/A</v>
      </c>
      <c r="P101" s="305" t="e">
        <f t="shared" si="51"/>
        <v>#N/A</v>
      </c>
      <c r="Q101" s="305" t="e">
        <f t="shared" si="51"/>
        <v>#N/A</v>
      </c>
      <c r="R101" s="305">
        <f t="shared" si="51"/>
        <v>9.9302582000000002E-10</v>
      </c>
      <c r="S101" s="305" t="e">
        <f t="shared" si="51"/>
        <v>#N/A</v>
      </c>
      <c r="T101" s="305" t="e">
        <f t="shared" si="51"/>
        <v>#N/A</v>
      </c>
    </row>
    <row r="102" spans="1:41" x14ac:dyDescent="0.3">
      <c r="A102" s="147" t="s">
        <v>330</v>
      </c>
      <c r="B102" s="315" t="s">
        <v>344</v>
      </c>
      <c r="C102" s="145" t="e">
        <f t="shared" si="52"/>
        <v>#N/A</v>
      </c>
      <c r="D102" s="145" t="e">
        <f t="shared" si="52"/>
        <v>#N/A</v>
      </c>
      <c r="E102" s="316" t="e">
        <f t="shared" si="52"/>
        <v>#N/A</v>
      </c>
      <c r="F102" s="145" t="e">
        <f t="shared" si="52"/>
        <v>#N/A</v>
      </c>
      <c r="G102" s="145" t="e">
        <f t="shared" si="49"/>
        <v>#N/A</v>
      </c>
      <c r="H102" s="145" t="e">
        <f t="shared" si="49"/>
        <v>#N/A</v>
      </c>
      <c r="I102" s="145">
        <f t="shared" si="50"/>
        <v>-2.8440295E-4</v>
      </c>
      <c r="J102" s="145">
        <f t="shared" si="50"/>
        <v>-2.8440295E-4</v>
      </c>
      <c r="K102" s="145">
        <f t="shared" si="50"/>
        <v>-2.8440295E-4</v>
      </c>
      <c r="L102" s="145">
        <f t="shared" si="50"/>
        <v>-2.8440295E-4</v>
      </c>
      <c r="M102" s="145">
        <f t="shared" si="50"/>
        <v>-2.8440295E-4</v>
      </c>
      <c r="N102" s="145">
        <f t="shared" si="50"/>
        <v>-4.0820693000000001E-4</v>
      </c>
      <c r="O102" s="305" t="e">
        <f t="shared" si="51"/>
        <v>#N/A</v>
      </c>
      <c r="P102" s="305" t="e">
        <f t="shared" si="51"/>
        <v>#N/A</v>
      </c>
      <c r="Q102" s="305" t="e">
        <f t="shared" si="51"/>
        <v>#N/A</v>
      </c>
      <c r="R102" s="305">
        <f t="shared" si="51"/>
        <v>1.4264174000000001E-3</v>
      </c>
      <c r="S102" s="305" t="e">
        <f t="shared" si="51"/>
        <v>#N/A</v>
      </c>
      <c r="T102" s="305" t="e">
        <f t="shared" si="51"/>
        <v>#N/A</v>
      </c>
    </row>
    <row r="103" spans="1:41" s="16" customFormat="1" x14ac:dyDescent="0.3">
      <c r="A103" s="147" t="s">
        <v>331</v>
      </c>
      <c r="B103" s="315" t="s">
        <v>345</v>
      </c>
      <c r="C103" s="145" t="e">
        <f t="shared" si="52"/>
        <v>#N/A</v>
      </c>
      <c r="D103" s="145" t="e">
        <f t="shared" si="52"/>
        <v>#N/A</v>
      </c>
      <c r="E103" s="316" t="e">
        <f t="shared" si="52"/>
        <v>#N/A</v>
      </c>
      <c r="F103" s="145" t="e">
        <f t="shared" si="52"/>
        <v>#N/A</v>
      </c>
      <c r="G103" s="145" t="e">
        <f t="shared" si="49"/>
        <v>#N/A</v>
      </c>
      <c r="H103" s="145" t="e">
        <f t="shared" si="49"/>
        <v>#N/A</v>
      </c>
      <c r="I103" s="145">
        <f t="shared" si="50"/>
        <v>-3.3771856999999997E-5</v>
      </c>
      <c r="J103" s="145">
        <f t="shared" si="50"/>
        <v>-3.3771856999999997E-5</v>
      </c>
      <c r="K103" s="145">
        <f t="shared" si="50"/>
        <v>-3.3771856999999997E-5</v>
      </c>
      <c r="L103" s="145">
        <f t="shared" si="50"/>
        <v>-3.3771856999999997E-5</v>
      </c>
      <c r="M103" s="145">
        <f t="shared" si="50"/>
        <v>-3.3771856999999997E-5</v>
      </c>
      <c r="N103" s="145">
        <f t="shared" si="50"/>
        <v>-1.0591003E-4</v>
      </c>
      <c r="O103" s="305" t="e">
        <f t="shared" si="51"/>
        <v>#N/A</v>
      </c>
      <c r="P103" s="305" t="e">
        <f t="shared" si="51"/>
        <v>#N/A</v>
      </c>
      <c r="Q103" s="305" t="e">
        <f t="shared" si="51"/>
        <v>#N/A</v>
      </c>
      <c r="R103" s="305">
        <f t="shared" si="51"/>
        <v>2.0966746999999999E-4</v>
      </c>
      <c r="S103" s="305" t="e">
        <f t="shared" si="51"/>
        <v>#N/A</v>
      </c>
      <c r="T103" s="305" t="e">
        <f t="shared" si="51"/>
        <v>#N/A</v>
      </c>
    </row>
    <row r="104" spans="1:41" s="16" customFormat="1" x14ac:dyDescent="0.3">
      <c r="A104" s="147" t="s">
        <v>423</v>
      </c>
      <c r="B104" s="315" t="s">
        <v>424</v>
      </c>
      <c r="C104" s="145" t="e">
        <f t="shared" si="52"/>
        <v>#N/A</v>
      </c>
      <c r="D104" s="145" t="e">
        <f t="shared" si="52"/>
        <v>#N/A</v>
      </c>
      <c r="E104" s="316" t="e">
        <f t="shared" si="52"/>
        <v>#N/A</v>
      </c>
      <c r="F104" s="145" t="e">
        <f t="shared" si="52"/>
        <v>#N/A</v>
      </c>
      <c r="G104" s="145" t="e">
        <f t="shared" si="49"/>
        <v>#N/A</v>
      </c>
      <c r="H104" s="145" t="e">
        <f t="shared" si="49"/>
        <v>#N/A</v>
      </c>
      <c r="I104" s="145">
        <f t="shared" si="50"/>
        <v>-5.9943874000000003E-5</v>
      </c>
      <c r="J104" s="145">
        <f t="shared" si="50"/>
        <v>-5.9943874000000003E-5</v>
      </c>
      <c r="K104" s="145">
        <f t="shared" si="50"/>
        <v>-5.9943874000000003E-5</v>
      </c>
      <c r="L104" s="145">
        <f t="shared" si="50"/>
        <v>-5.9943874000000003E-5</v>
      </c>
      <c r="M104" s="145">
        <f t="shared" si="50"/>
        <v>-5.9943874000000003E-5</v>
      </c>
      <c r="N104" s="145">
        <f t="shared" si="50"/>
        <v>-5.3084637E-4</v>
      </c>
      <c r="O104" s="305" t="e">
        <f t="shared" si="51"/>
        <v>#N/A</v>
      </c>
      <c r="P104" s="305" t="e">
        <f t="shared" si="51"/>
        <v>#N/A</v>
      </c>
      <c r="Q104" s="305" t="e">
        <f t="shared" si="51"/>
        <v>#N/A</v>
      </c>
      <c r="R104" s="305">
        <f t="shared" si="51"/>
        <v>2.7980700999999999E-4</v>
      </c>
      <c r="S104" s="305" t="e">
        <f t="shared" si="51"/>
        <v>#N/A</v>
      </c>
      <c r="T104" s="305" t="e">
        <f t="shared" si="51"/>
        <v>#N/A</v>
      </c>
    </row>
    <row r="105" spans="1:41" s="16" customFormat="1" x14ac:dyDescent="0.3">
      <c r="A105" s="147" t="s">
        <v>425</v>
      </c>
      <c r="B105" s="315" t="s">
        <v>426</v>
      </c>
      <c r="C105" s="145" t="e">
        <f t="shared" si="52"/>
        <v>#N/A</v>
      </c>
      <c r="D105" s="145" t="e">
        <f t="shared" si="52"/>
        <v>#N/A</v>
      </c>
      <c r="E105" s="316" t="e">
        <f t="shared" si="52"/>
        <v>#N/A</v>
      </c>
      <c r="F105" s="145" t="e">
        <f t="shared" si="52"/>
        <v>#N/A</v>
      </c>
      <c r="G105" s="145" t="e">
        <f t="shared" si="49"/>
        <v>#N/A</v>
      </c>
      <c r="H105" s="145" t="e">
        <f t="shared" si="49"/>
        <v>#N/A</v>
      </c>
      <c r="I105" s="145">
        <f t="shared" si="50"/>
        <v>-6.5510446999999996E-4</v>
      </c>
      <c r="J105" s="145">
        <f t="shared" si="50"/>
        <v>-6.5510446999999996E-4</v>
      </c>
      <c r="K105" s="145">
        <f t="shared" si="50"/>
        <v>-6.5510446999999996E-4</v>
      </c>
      <c r="L105" s="145">
        <f t="shared" si="50"/>
        <v>-6.5510446999999996E-4</v>
      </c>
      <c r="M105" s="145">
        <f t="shared" si="50"/>
        <v>-6.5510446999999996E-4</v>
      </c>
      <c r="N105" s="145">
        <f t="shared" si="50"/>
        <v>-1.3010252E-3</v>
      </c>
      <c r="O105" s="305" t="e">
        <f t="shared" si="51"/>
        <v>#N/A</v>
      </c>
      <c r="P105" s="305" t="e">
        <f t="shared" si="51"/>
        <v>#N/A</v>
      </c>
      <c r="Q105" s="305" t="e">
        <f t="shared" si="51"/>
        <v>#N/A</v>
      </c>
      <c r="R105" s="305">
        <f t="shared" si="51"/>
        <v>2.5822542E-3</v>
      </c>
      <c r="S105" s="305" t="e">
        <f t="shared" si="51"/>
        <v>#N/A</v>
      </c>
      <c r="T105" s="305" t="e">
        <f t="shared" si="51"/>
        <v>#N/A</v>
      </c>
    </row>
    <row r="106" spans="1:41" s="16" customFormat="1" x14ac:dyDescent="0.3">
      <c r="A106" s="147" t="s">
        <v>427</v>
      </c>
      <c r="B106" s="315" t="s">
        <v>428</v>
      </c>
      <c r="C106" s="145" t="e">
        <f t="shared" si="52"/>
        <v>#N/A</v>
      </c>
      <c r="D106" s="145" t="e">
        <f t="shared" si="52"/>
        <v>#N/A</v>
      </c>
      <c r="E106" s="316" t="e">
        <f t="shared" si="52"/>
        <v>#N/A</v>
      </c>
      <c r="F106" s="145" t="e">
        <f t="shared" si="52"/>
        <v>#N/A</v>
      </c>
      <c r="G106" s="145" t="e">
        <f t="shared" si="49"/>
        <v>#N/A</v>
      </c>
      <c r="H106" s="145" t="e">
        <f t="shared" si="49"/>
        <v>#N/A</v>
      </c>
      <c r="I106" s="145">
        <f t="shared" si="50"/>
        <v>-0.97420434</v>
      </c>
      <c r="J106" s="145">
        <f t="shared" si="50"/>
        <v>-0.97420434</v>
      </c>
      <c r="K106" s="145">
        <f t="shared" si="50"/>
        <v>-0.97420434</v>
      </c>
      <c r="L106" s="145">
        <f t="shared" si="50"/>
        <v>-0.97420434</v>
      </c>
      <c r="M106" s="145">
        <f t="shared" si="50"/>
        <v>-0.97420434</v>
      </c>
      <c r="N106" s="145">
        <f t="shared" si="50"/>
        <v>-1.7510954000000001</v>
      </c>
      <c r="O106" s="305" t="e">
        <f t="shared" si="51"/>
        <v>#N/A</v>
      </c>
      <c r="P106" s="305" t="e">
        <f t="shared" si="51"/>
        <v>#N/A</v>
      </c>
      <c r="Q106" s="305" t="e">
        <f t="shared" si="51"/>
        <v>#N/A</v>
      </c>
      <c r="R106" s="305">
        <f t="shared" si="51"/>
        <v>2.86206121E-3</v>
      </c>
      <c r="S106" s="305" t="e">
        <f t="shared" si="51"/>
        <v>#N/A</v>
      </c>
      <c r="T106" s="305" t="e">
        <f t="shared" si="51"/>
        <v>#N/A</v>
      </c>
    </row>
    <row r="107" spans="1:41" x14ac:dyDescent="0.3">
      <c r="A107" s="147" t="s">
        <v>429</v>
      </c>
      <c r="B107" s="315" t="s">
        <v>430</v>
      </c>
      <c r="C107" s="145" t="e">
        <f t="shared" si="52"/>
        <v>#N/A</v>
      </c>
      <c r="D107" s="145" t="e">
        <f t="shared" si="52"/>
        <v>#N/A</v>
      </c>
      <c r="E107" s="316" t="e">
        <f t="shared" si="52"/>
        <v>#N/A</v>
      </c>
      <c r="F107" s="145" t="e">
        <f t="shared" si="52"/>
        <v>#N/A</v>
      </c>
      <c r="G107" s="145" t="e">
        <f t="shared" si="49"/>
        <v>#N/A</v>
      </c>
      <c r="H107" s="145" t="e">
        <f t="shared" si="49"/>
        <v>#N/A</v>
      </c>
      <c r="I107" s="145">
        <f t="shared" si="50"/>
        <v>0</v>
      </c>
      <c r="J107" s="145">
        <f t="shared" si="50"/>
        <v>0</v>
      </c>
      <c r="K107" s="145">
        <f t="shared" si="50"/>
        <v>0</v>
      </c>
      <c r="L107" s="145">
        <f t="shared" si="50"/>
        <v>0</v>
      </c>
      <c r="M107" s="145">
        <f t="shared" si="50"/>
        <v>0</v>
      </c>
      <c r="N107" s="145">
        <f t="shared" si="50"/>
        <v>0</v>
      </c>
      <c r="O107" s="305" t="e">
        <f t="shared" si="51"/>
        <v>#N/A</v>
      </c>
      <c r="P107" s="305" t="e">
        <f t="shared" si="51"/>
        <v>#N/A</v>
      </c>
      <c r="Q107" s="305" t="e">
        <f t="shared" si="51"/>
        <v>#N/A</v>
      </c>
      <c r="R107" s="305">
        <f t="shared" si="51"/>
        <v>1.0042628</v>
      </c>
      <c r="S107" s="305" t="e">
        <f t="shared" si="51"/>
        <v>#N/A</v>
      </c>
      <c r="T107" s="305" t="e">
        <f t="shared" si="51"/>
        <v>#N/A</v>
      </c>
    </row>
    <row r="108" spans="1:41" x14ac:dyDescent="0.3">
      <c r="A108" s="147" t="s">
        <v>332</v>
      </c>
      <c r="B108" s="315" t="s">
        <v>431</v>
      </c>
      <c r="C108" s="145" t="e">
        <f t="shared" si="52"/>
        <v>#N/A</v>
      </c>
      <c r="D108" s="145" t="e">
        <f t="shared" si="52"/>
        <v>#N/A</v>
      </c>
      <c r="E108" s="316" t="e">
        <f t="shared" si="52"/>
        <v>#N/A</v>
      </c>
      <c r="F108" s="145" t="e">
        <f t="shared" si="52"/>
        <v>#N/A</v>
      </c>
      <c r="G108" s="145" t="e">
        <f t="shared" si="49"/>
        <v>#N/A</v>
      </c>
      <c r="H108" s="145" t="e">
        <f t="shared" si="49"/>
        <v>#N/A</v>
      </c>
      <c r="I108" s="145">
        <f t="shared" si="50"/>
        <v>-4.3465658000000004E-3</v>
      </c>
      <c r="J108" s="145">
        <f t="shared" si="50"/>
        <v>-4.3465658000000004E-3</v>
      </c>
      <c r="K108" s="145">
        <f t="shared" si="50"/>
        <v>-4.3465658000000004E-3</v>
      </c>
      <c r="L108" s="145">
        <f t="shared" si="50"/>
        <v>-4.3465658000000004E-3</v>
      </c>
      <c r="M108" s="145">
        <f t="shared" si="50"/>
        <v>-4.3465658000000004E-3</v>
      </c>
      <c r="N108" s="145">
        <f t="shared" si="50"/>
        <v>-9.2822962999999994E-3</v>
      </c>
      <c r="O108" s="305" t="e">
        <f t="shared" si="51"/>
        <v>#N/A</v>
      </c>
      <c r="P108" s="305" t="e">
        <f t="shared" si="51"/>
        <v>#N/A</v>
      </c>
      <c r="Q108" s="305" t="e">
        <f t="shared" si="51"/>
        <v>#N/A</v>
      </c>
      <c r="R108" s="305">
        <f t="shared" si="51"/>
        <v>0.10940046</v>
      </c>
      <c r="S108" s="305" t="e">
        <f t="shared" si="51"/>
        <v>#N/A</v>
      </c>
      <c r="T108" s="305" t="e">
        <f t="shared" si="51"/>
        <v>#N/A</v>
      </c>
    </row>
    <row r="109" spans="1:41" x14ac:dyDescent="0.3">
      <c r="A109" s="147" t="s">
        <v>432</v>
      </c>
      <c r="B109" s="315" t="s">
        <v>347</v>
      </c>
      <c r="C109" s="145" t="e">
        <f t="shared" si="52"/>
        <v>#N/A</v>
      </c>
      <c r="D109" s="145" t="e">
        <f t="shared" si="52"/>
        <v>#N/A</v>
      </c>
      <c r="E109" s="316" t="e">
        <f t="shared" si="52"/>
        <v>#N/A</v>
      </c>
      <c r="F109" s="145" t="e">
        <f t="shared" si="52"/>
        <v>#N/A</v>
      </c>
      <c r="G109" s="145" t="e">
        <f t="shared" si="49"/>
        <v>#N/A</v>
      </c>
      <c r="H109" s="145" t="e">
        <f t="shared" si="49"/>
        <v>#N/A</v>
      </c>
      <c r="I109" s="145">
        <f t="shared" si="50"/>
        <v>-1.1173516999999999</v>
      </c>
      <c r="J109" s="145">
        <f t="shared" si="50"/>
        <v>-1.1173516999999999</v>
      </c>
      <c r="K109" s="145">
        <f t="shared" si="50"/>
        <v>-1.1173516999999999</v>
      </c>
      <c r="L109" s="145">
        <f t="shared" si="50"/>
        <v>-1.1173516999999999</v>
      </c>
      <c r="M109" s="145">
        <f t="shared" si="50"/>
        <v>-1.1173516999999999</v>
      </c>
      <c r="N109" s="145">
        <f t="shared" si="50"/>
        <v>-1.1173523999999999</v>
      </c>
      <c r="O109" s="305" t="e">
        <f t="shared" si="51"/>
        <v>#N/A</v>
      </c>
      <c r="P109" s="305" t="e">
        <f t="shared" si="51"/>
        <v>#N/A</v>
      </c>
      <c r="Q109" s="305" t="e">
        <f t="shared" si="51"/>
        <v>#N/A</v>
      </c>
      <c r="R109" s="305">
        <f t="shared" si="51"/>
        <v>3.9996920999999999</v>
      </c>
      <c r="S109" s="305" t="e">
        <f t="shared" si="51"/>
        <v>#N/A</v>
      </c>
      <c r="T109" s="305" t="e">
        <f t="shared" si="51"/>
        <v>#N/A</v>
      </c>
    </row>
    <row r="110" spans="1:41" s="16" customFormat="1" x14ac:dyDescent="0.3">
      <c r="A110" s="147" t="s">
        <v>334</v>
      </c>
      <c r="B110" s="315" t="s">
        <v>348</v>
      </c>
      <c r="C110" s="145" t="e">
        <f t="shared" si="52"/>
        <v>#N/A</v>
      </c>
      <c r="D110" s="145" t="e">
        <f t="shared" si="52"/>
        <v>#N/A</v>
      </c>
      <c r="E110" s="316" t="e">
        <f t="shared" si="52"/>
        <v>#N/A</v>
      </c>
      <c r="F110" s="145" t="e">
        <f t="shared" si="52"/>
        <v>#N/A</v>
      </c>
      <c r="G110" s="145" t="e">
        <f t="shared" si="49"/>
        <v>#N/A</v>
      </c>
      <c r="H110" s="145" t="e">
        <f t="shared" si="49"/>
        <v>#N/A</v>
      </c>
      <c r="I110" s="145">
        <f t="shared" si="50"/>
        <v>-5.4718007000000003E-9</v>
      </c>
      <c r="J110" s="145">
        <f t="shared" si="50"/>
        <v>-5.4718007000000003E-9</v>
      </c>
      <c r="K110" s="145">
        <f t="shared" si="50"/>
        <v>-5.4718007000000003E-9</v>
      </c>
      <c r="L110" s="145">
        <f t="shared" si="50"/>
        <v>-5.4718007000000003E-9</v>
      </c>
      <c r="M110" s="145">
        <f t="shared" si="50"/>
        <v>-5.4718007000000003E-9</v>
      </c>
      <c r="N110" s="145">
        <f t="shared" si="50"/>
        <v>-5.4718062999999996E-9</v>
      </c>
      <c r="O110" s="305" t="e">
        <f t="shared" si="51"/>
        <v>#N/A</v>
      </c>
      <c r="P110" s="305" t="e">
        <f t="shared" si="51"/>
        <v>#N/A</v>
      </c>
      <c r="Q110" s="305" t="e">
        <f t="shared" si="51"/>
        <v>#N/A</v>
      </c>
      <c r="R110" s="305">
        <f t="shared" si="51"/>
        <v>6.6624555999999996E-7</v>
      </c>
      <c r="S110" s="305" t="e">
        <f t="shared" si="51"/>
        <v>#N/A</v>
      </c>
      <c r="T110" s="305" t="e">
        <f t="shared" si="51"/>
        <v>#N/A</v>
      </c>
    </row>
    <row r="111" spans="1:41" ht="15" thickBot="1" x14ac:dyDescent="0.35">
      <c r="A111" s="317"/>
      <c r="B111" s="318"/>
      <c r="C111" s="319" t="s">
        <v>549</v>
      </c>
      <c r="D111" s="320"/>
      <c r="E111" s="320"/>
      <c r="F111" s="320"/>
      <c r="I111" s="321" t="s">
        <v>550</v>
      </c>
      <c r="J111" s="322"/>
      <c r="K111" s="322"/>
      <c r="L111" s="322"/>
      <c r="O111" s="323" t="s">
        <v>537</v>
      </c>
      <c r="P111" s="324"/>
      <c r="Q111" s="324"/>
      <c r="R111" s="324"/>
      <c r="AJ111" s="16"/>
      <c r="AK111" s="16"/>
      <c r="AL111" s="16"/>
      <c r="AM111" s="16"/>
      <c r="AN111" s="16"/>
      <c r="AO111" s="16"/>
    </row>
    <row r="112" spans="1:41" x14ac:dyDescent="0.3">
      <c r="T112" s="16"/>
      <c r="U112" s="16"/>
      <c r="V112" s="16"/>
      <c r="AJ112" s="16"/>
      <c r="AK112" s="16"/>
      <c r="AL112" s="16"/>
      <c r="AM112" s="16"/>
      <c r="AN112" s="16"/>
      <c r="AO112" s="16"/>
    </row>
    <row r="113" spans="36:41" x14ac:dyDescent="0.3">
      <c r="AJ113" s="16"/>
      <c r="AK113" s="16"/>
      <c r="AL113" s="16"/>
      <c r="AM113" s="16"/>
      <c r="AN113" s="16"/>
      <c r="AO113" s="16"/>
    </row>
  </sheetData>
  <mergeCells count="2">
    <mergeCell ref="A1:B2"/>
    <mergeCell ref="U58:V58"/>
  </mergeCell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1AD5B-A2D2-48AB-88C5-B666FD695438}">
  <sheetPr>
    <tabColor theme="9"/>
  </sheetPr>
  <dimension ref="A1:T25"/>
  <sheetViews>
    <sheetView zoomScale="85" zoomScaleNormal="85" workbookViewId="0">
      <selection activeCell="M24" sqref="M24"/>
    </sheetView>
  </sheetViews>
  <sheetFormatPr defaultColWidth="11.44140625" defaultRowHeight="14.4" x14ac:dyDescent="0.3"/>
  <cols>
    <col min="1" max="1" width="15.109375" style="303" customWidth="1"/>
    <col min="2" max="11" width="10.6640625" style="2" customWidth="1"/>
    <col min="12" max="13" width="10.6640625" customWidth="1"/>
  </cols>
  <sheetData>
    <row r="1" spans="1:20" ht="21.6" thickTop="1" x14ac:dyDescent="0.3">
      <c r="A1" s="325" t="s">
        <v>551</v>
      </c>
    </row>
    <row r="2" spans="1:20" ht="15" thickBot="1" x14ac:dyDescent="0.35"/>
    <row r="3" spans="1:20" s="16" customFormat="1" ht="66.45" customHeight="1" x14ac:dyDescent="0.3">
      <c r="A3" s="303" t="s">
        <v>552</v>
      </c>
      <c r="B3" s="326" t="s">
        <v>618</v>
      </c>
      <c r="C3" s="326" t="s">
        <v>625</v>
      </c>
      <c r="D3" s="326" t="s">
        <v>619</v>
      </c>
      <c r="E3" s="326" t="s">
        <v>626</v>
      </c>
      <c r="F3" s="326" t="s">
        <v>620</v>
      </c>
      <c r="G3" s="326" t="s">
        <v>627</v>
      </c>
      <c r="H3" s="326" t="s">
        <v>621</v>
      </c>
      <c r="I3" s="326" t="s">
        <v>628</v>
      </c>
      <c r="J3" s="326" t="s">
        <v>622</v>
      </c>
      <c r="K3" s="326" t="s">
        <v>629</v>
      </c>
      <c r="L3" s="326" t="s">
        <v>623</v>
      </c>
      <c r="M3" s="326" t="s">
        <v>630</v>
      </c>
      <c r="Q3"/>
      <c r="R3"/>
      <c r="S3"/>
      <c r="T3"/>
    </row>
    <row r="4" spans="1:20" ht="15" thickBot="1" x14ac:dyDescent="0.35">
      <c r="A4" s="190" t="s">
        <v>553</v>
      </c>
      <c r="B4" s="327">
        <f>E22</f>
        <v>19.52</v>
      </c>
      <c r="C4" s="328">
        <v>42.1</v>
      </c>
      <c r="D4" s="327">
        <f>E22</f>
        <v>19.52</v>
      </c>
      <c r="E4" s="328">
        <v>42.1</v>
      </c>
      <c r="F4" s="327">
        <f>E22</f>
        <v>19.52</v>
      </c>
      <c r="G4" s="328">
        <v>42.1</v>
      </c>
      <c r="H4" s="327">
        <f>E22</f>
        <v>19.52</v>
      </c>
      <c r="I4" s="328">
        <v>25.7</v>
      </c>
      <c r="J4" s="327">
        <f>E22</f>
        <v>19.52</v>
      </c>
      <c r="K4" s="328">
        <v>25</v>
      </c>
      <c r="L4" s="327">
        <v>19.52</v>
      </c>
      <c r="M4" s="328">
        <v>23</v>
      </c>
    </row>
    <row r="5" spans="1:20" x14ac:dyDescent="0.3">
      <c r="A5" s="190"/>
      <c r="S5" s="2"/>
    </row>
    <row r="6" spans="1:20" x14ac:dyDescent="0.3">
      <c r="A6" s="190"/>
      <c r="B6" s="329"/>
      <c r="C6" s="329"/>
      <c r="D6" s="329"/>
      <c r="E6" s="329"/>
      <c r="F6" s="329"/>
      <c r="G6" s="329"/>
      <c r="H6" s="329"/>
      <c r="I6" s="329"/>
      <c r="J6" s="329"/>
      <c r="K6" s="329"/>
    </row>
    <row r="7" spans="1:20" x14ac:dyDescent="0.3">
      <c r="A7" s="154" t="s">
        <v>554</v>
      </c>
    </row>
    <row r="9" spans="1:20" ht="39.450000000000003" customHeight="1" x14ac:dyDescent="0.3">
      <c r="A9" s="469" t="s">
        <v>555</v>
      </c>
      <c r="B9" s="469"/>
      <c r="C9" s="469"/>
      <c r="D9" s="469"/>
      <c r="E9" s="469"/>
      <c r="F9" s="469"/>
      <c r="G9" s="469"/>
      <c r="H9" s="469"/>
      <c r="I9" s="469"/>
      <c r="J9" s="469"/>
      <c r="K9" s="469"/>
      <c r="L9" s="469"/>
    </row>
    <row r="12" spans="1:20" ht="32.549999999999997" customHeight="1" x14ac:dyDescent="0.3">
      <c r="A12" s="469" t="s">
        <v>556</v>
      </c>
      <c r="B12" s="469"/>
      <c r="C12" s="303" t="s">
        <v>557</v>
      </c>
      <c r="D12" s="478" t="s">
        <v>552</v>
      </c>
      <c r="E12" s="478"/>
    </row>
    <row r="13" spans="1:20" x14ac:dyDescent="0.3">
      <c r="A13" s="551" t="s">
        <v>558</v>
      </c>
      <c r="B13" s="551"/>
      <c r="C13" s="2">
        <v>0.33</v>
      </c>
      <c r="D13" s="550">
        <v>17.899999999999999</v>
      </c>
      <c r="E13" s="550"/>
    </row>
    <row r="14" spans="1:20" x14ac:dyDescent="0.3">
      <c r="A14" s="551" t="s">
        <v>559</v>
      </c>
      <c r="B14" s="551"/>
      <c r="C14" s="2">
        <v>0.15</v>
      </c>
      <c r="D14" s="550">
        <v>35.4</v>
      </c>
      <c r="E14" s="550"/>
    </row>
    <row r="15" spans="1:20" x14ac:dyDescent="0.3">
      <c r="A15" s="551" t="s">
        <v>560</v>
      </c>
      <c r="B15" s="551"/>
      <c r="C15" s="2">
        <v>0.14000000000000001</v>
      </c>
      <c r="D15" s="550">
        <v>19.5</v>
      </c>
      <c r="E15" s="550"/>
    </row>
    <row r="16" spans="1:20" s="2" customFormat="1" x14ac:dyDescent="0.3">
      <c r="A16" s="551" t="s">
        <v>415</v>
      </c>
      <c r="B16" s="551"/>
      <c r="C16" s="2">
        <v>0.09</v>
      </c>
      <c r="D16" s="550">
        <v>13.8</v>
      </c>
      <c r="E16" s="550"/>
      <c r="H16" s="331" t="s">
        <v>561</v>
      </c>
      <c r="L16"/>
      <c r="M16"/>
      <c r="N16"/>
      <c r="O16"/>
      <c r="P16"/>
      <c r="Q16"/>
      <c r="R16"/>
      <c r="S16"/>
      <c r="T16"/>
    </row>
    <row r="17" spans="1:20" s="2" customFormat="1" x14ac:dyDescent="0.3">
      <c r="A17" s="551" t="s">
        <v>414</v>
      </c>
      <c r="B17" s="551"/>
      <c r="C17" s="2">
        <v>0.06</v>
      </c>
      <c r="D17" s="550">
        <v>15.6</v>
      </c>
      <c r="E17" s="550"/>
      <c r="L17"/>
      <c r="M17"/>
      <c r="N17"/>
      <c r="O17"/>
      <c r="P17"/>
      <c r="Q17"/>
      <c r="R17"/>
      <c r="S17"/>
      <c r="T17"/>
    </row>
    <row r="18" spans="1:20" s="2" customFormat="1" x14ac:dyDescent="0.3">
      <c r="A18" s="551" t="s">
        <v>562</v>
      </c>
      <c r="B18" s="551"/>
      <c r="C18" s="2">
        <v>0.05</v>
      </c>
      <c r="D18" s="550">
        <v>0.7</v>
      </c>
      <c r="E18" s="550"/>
      <c r="L18"/>
      <c r="M18"/>
      <c r="N18"/>
      <c r="O18"/>
      <c r="P18"/>
      <c r="Q18"/>
      <c r="R18"/>
      <c r="S18"/>
      <c r="T18"/>
    </row>
    <row r="19" spans="1:20" s="2" customFormat="1" x14ac:dyDescent="0.3">
      <c r="A19" s="551" t="s">
        <v>563</v>
      </c>
      <c r="B19" s="551"/>
      <c r="C19" s="478">
        <v>0.18</v>
      </c>
      <c r="D19" s="332">
        <v>10.7</v>
      </c>
      <c r="E19" s="552">
        <f>(D19+D20+D21)/3</f>
        <v>18.666666666666668</v>
      </c>
      <c r="L19"/>
      <c r="M19"/>
      <c r="N19"/>
      <c r="O19"/>
      <c r="P19"/>
      <c r="Q19"/>
      <c r="R19"/>
      <c r="S19"/>
      <c r="T19"/>
    </row>
    <row r="20" spans="1:20" s="2" customFormat="1" x14ac:dyDescent="0.3">
      <c r="A20" s="551" t="s">
        <v>564</v>
      </c>
      <c r="B20" s="551"/>
      <c r="C20" s="478"/>
      <c r="D20" s="332">
        <v>22.1</v>
      </c>
      <c r="E20" s="552"/>
      <c r="L20"/>
      <c r="M20"/>
      <c r="N20"/>
      <c r="O20"/>
      <c r="P20"/>
      <c r="Q20"/>
      <c r="R20"/>
      <c r="S20"/>
      <c r="T20"/>
    </row>
    <row r="21" spans="1:20" s="2" customFormat="1" x14ac:dyDescent="0.3">
      <c r="A21" s="551" t="s">
        <v>565</v>
      </c>
      <c r="B21" s="551"/>
      <c r="C21" s="478"/>
      <c r="D21" s="332">
        <v>23.2</v>
      </c>
      <c r="E21" s="552"/>
      <c r="L21"/>
      <c r="M21"/>
      <c r="N21"/>
      <c r="O21"/>
      <c r="P21"/>
      <c r="Q21"/>
      <c r="R21"/>
      <c r="S21"/>
      <c r="T21"/>
    </row>
    <row r="22" spans="1:20" s="2" customFormat="1" x14ac:dyDescent="0.3">
      <c r="A22" s="303"/>
      <c r="B22" s="550" t="s">
        <v>566</v>
      </c>
      <c r="C22" s="550"/>
      <c r="D22" s="550"/>
      <c r="E22" s="270">
        <f>D13*C13+D14*C14+D15*C15+D16*C16+D17*C17+D18*C18+E19*C19</f>
        <v>19.52</v>
      </c>
      <c r="L22"/>
      <c r="M22"/>
      <c r="N22"/>
      <c r="O22"/>
      <c r="P22"/>
      <c r="Q22"/>
      <c r="R22"/>
      <c r="S22"/>
      <c r="T22"/>
    </row>
    <row r="25" spans="1:20" s="2" customFormat="1" x14ac:dyDescent="0.3">
      <c r="A25" s="333" t="s">
        <v>567</v>
      </c>
      <c r="B25" s="331"/>
      <c r="L25"/>
      <c r="M25"/>
      <c r="N25"/>
      <c r="O25"/>
      <c r="P25"/>
      <c r="Q25"/>
      <c r="R25"/>
      <c r="S25"/>
      <c r="T25"/>
    </row>
  </sheetData>
  <mergeCells count="21">
    <mergeCell ref="A14:B14"/>
    <mergeCell ref="D14:E14"/>
    <mergeCell ref="A9:L9"/>
    <mergeCell ref="A12:B12"/>
    <mergeCell ref="D12:E12"/>
    <mergeCell ref="A13:B13"/>
    <mergeCell ref="D13:E13"/>
    <mergeCell ref="A15:B15"/>
    <mergeCell ref="D15:E15"/>
    <mergeCell ref="A16:B16"/>
    <mergeCell ref="D16:E16"/>
    <mergeCell ref="A17:B17"/>
    <mergeCell ref="D17:E17"/>
    <mergeCell ref="B22:D22"/>
    <mergeCell ref="A18:B18"/>
    <mergeCell ref="D18:E18"/>
    <mergeCell ref="A19:B19"/>
    <mergeCell ref="C19:C21"/>
    <mergeCell ref="E19:E21"/>
    <mergeCell ref="A20:B20"/>
    <mergeCell ref="A21:B21"/>
  </mergeCells>
  <hyperlinks>
    <hyperlink ref="A25" r:id="rId1" location=":~:text=En%202017%2C%20les%20OMR%20sont,kg%2Fhab%2Fan)." xr:uid="{D7FADD10-EB00-4230-8C06-66C072CB4115}"/>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F2FCA-40CF-48CD-88E3-ED82BDEF8F9A}">
  <sheetPr>
    <tabColor theme="9"/>
  </sheetPr>
  <dimension ref="A1:L22"/>
  <sheetViews>
    <sheetView topLeftCell="B1" workbookViewId="0">
      <selection activeCell="M24" sqref="M24"/>
    </sheetView>
  </sheetViews>
  <sheetFormatPr defaultColWidth="11.44140625" defaultRowHeight="14.4" x14ac:dyDescent="0.3"/>
  <cols>
    <col min="1" max="1" width="38.6640625" bestFit="1" customWidth="1"/>
    <col min="3" max="3" width="19.6640625" style="2" bestFit="1" customWidth="1"/>
    <col min="4" max="4" width="17" style="2" bestFit="1" customWidth="1"/>
    <col min="9" max="9" width="20.109375" bestFit="1" customWidth="1"/>
  </cols>
  <sheetData>
    <row r="1" spans="1:12" ht="21" x14ac:dyDescent="0.4">
      <c r="A1" s="334" t="s">
        <v>568</v>
      </c>
      <c r="C1" s="2" t="s">
        <v>569</v>
      </c>
      <c r="D1" s="2" t="s">
        <v>570</v>
      </c>
      <c r="I1" t="s">
        <v>571</v>
      </c>
      <c r="K1" s="469" t="s">
        <v>572</v>
      </c>
      <c r="L1" s="469" t="s">
        <v>573</v>
      </c>
    </row>
    <row r="2" spans="1:12" x14ac:dyDescent="0.3">
      <c r="A2" t="s">
        <v>574</v>
      </c>
      <c r="B2" t="s">
        <v>575</v>
      </c>
      <c r="C2" s="2" t="s">
        <v>576</v>
      </c>
      <c r="D2" s="2" t="s">
        <v>577</v>
      </c>
      <c r="K2" s="469"/>
      <c r="L2" s="469"/>
    </row>
    <row r="3" spans="1:12" x14ac:dyDescent="0.3">
      <c r="A3" t="s">
        <v>327</v>
      </c>
      <c r="B3" t="s">
        <v>336</v>
      </c>
      <c r="C3" s="2">
        <v>7.7330222000000004E-2</v>
      </c>
      <c r="D3" s="2">
        <v>2.2289777E-2</v>
      </c>
      <c r="E3" s="335" t="s">
        <v>578</v>
      </c>
      <c r="I3" t="s">
        <v>574</v>
      </c>
      <c r="J3" t="s">
        <v>575</v>
      </c>
    </row>
    <row r="4" spans="1:12" x14ac:dyDescent="0.3">
      <c r="A4" t="s">
        <v>416</v>
      </c>
      <c r="B4" t="s">
        <v>417</v>
      </c>
      <c r="C4" s="136">
        <v>8.0992136000000005E-9</v>
      </c>
      <c r="D4" s="136">
        <v>2.3413113000000001E-9</v>
      </c>
      <c r="E4" s="335" t="s">
        <v>578</v>
      </c>
      <c r="I4" t="s">
        <v>579</v>
      </c>
      <c r="J4" t="s">
        <v>347</v>
      </c>
      <c r="K4">
        <v>1.2645487</v>
      </c>
      <c r="L4">
        <v>0.27496020999999998</v>
      </c>
    </row>
    <row r="5" spans="1:12" x14ac:dyDescent="0.3">
      <c r="A5" t="s">
        <v>418</v>
      </c>
      <c r="B5" t="s">
        <v>419</v>
      </c>
      <c r="C5" s="2">
        <v>1.1716807000000001E-3</v>
      </c>
      <c r="D5" s="2">
        <v>0.14722304</v>
      </c>
      <c r="E5" s="335" t="s">
        <v>578</v>
      </c>
      <c r="I5" t="s">
        <v>580</v>
      </c>
      <c r="J5" t="s">
        <v>347</v>
      </c>
      <c r="K5">
        <v>1.8389734000000001E-2</v>
      </c>
      <c r="L5">
        <v>2.9529174999999999</v>
      </c>
    </row>
    <row r="6" spans="1:12" x14ac:dyDescent="0.3">
      <c r="A6" t="s">
        <v>328</v>
      </c>
      <c r="B6" t="s">
        <v>342</v>
      </c>
      <c r="C6" s="136">
        <v>7.9413265000000005E-5</v>
      </c>
      <c r="D6" s="136">
        <v>5.8075829000000003E-5</v>
      </c>
      <c r="E6" s="335" t="s">
        <v>578</v>
      </c>
      <c r="I6" t="s">
        <v>581</v>
      </c>
      <c r="J6" t="s">
        <v>347</v>
      </c>
      <c r="K6" s="150">
        <v>8.1859972999999992E-6</v>
      </c>
      <c r="L6" s="150">
        <v>6.6682124E-6</v>
      </c>
    </row>
    <row r="7" spans="1:12" x14ac:dyDescent="0.3">
      <c r="A7" t="s">
        <v>329</v>
      </c>
      <c r="B7" t="s">
        <v>343</v>
      </c>
      <c r="C7" s="136">
        <v>3.815356E-10</v>
      </c>
      <c r="D7" s="136">
        <v>1.2179878E-9</v>
      </c>
      <c r="E7" s="335" t="s">
        <v>578</v>
      </c>
      <c r="I7" t="s">
        <v>582</v>
      </c>
      <c r="J7" t="s">
        <v>347</v>
      </c>
      <c r="K7">
        <v>1.4582382E-3</v>
      </c>
      <c r="L7">
        <v>1.6032134E-2</v>
      </c>
    </row>
    <row r="8" spans="1:12" x14ac:dyDescent="0.3">
      <c r="A8" t="s">
        <v>420</v>
      </c>
      <c r="B8" t="s">
        <v>421</v>
      </c>
      <c r="C8" s="136">
        <v>1.9881795000000001E-10</v>
      </c>
      <c r="D8" s="136">
        <v>2.6225022999999999E-10</v>
      </c>
      <c r="E8" s="335" t="s">
        <v>578</v>
      </c>
      <c r="I8" t="s">
        <v>583</v>
      </c>
      <c r="J8" t="s">
        <v>347</v>
      </c>
      <c r="K8">
        <v>3.2638468000000002E-3</v>
      </c>
      <c r="L8">
        <v>6.2070646E-2</v>
      </c>
    </row>
    <row r="9" spans="1:12" x14ac:dyDescent="0.3">
      <c r="A9" t="s">
        <v>422</v>
      </c>
      <c r="B9" t="s">
        <v>421</v>
      </c>
      <c r="C9" s="136">
        <v>1.5634214999999999E-11</v>
      </c>
      <c r="D9" s="136">
        <v>1.3494008E-11</v>
      </c>
      <c r="E9" s="335" t="s">
        <v>578</v>
      </c>
      <c r="I9" t="s">
        <v>584</v>
      </c>
      <c r="J9" t="s">
        <v>347</v>
      </c>
      <c r="K9">
        <v>4.1834157999999996E-3</v>
      </c>
      <c r="L9">
        <v>0.14334506</v>
      </c>
    </row>
    <row r="10" spans="1:12" x14ac:dyDescent="0.3">
      <c r="A10" t="s">
        <v>330</v>
      </c>
      <c r="B10" t="s">
        <v>344</v>
      </c>
      <c r="C10" s="136">
        <v>8.942492E-5</v>
      </c>
      <c r="D10" s="2">
        <v>1.0822637E-4</v>
      </c>
      <c r="E10" s="335" t="s">
        <v>578</v>
      </c>
      <c r="I10" s="135" t="s">
        <v>519</v>
      </c>
      <c r="J10" t="s">
        <v>347</v>
      </c>
      <c r="K10" s="7">
        <f>SUM(K4:K9)</f>
        <v>1.2918521207972999</v>
      </c>
      <c r="L10" s="7">
        <f>SUM(L4:L9)</f>
        <v>3.4493322182124002</v>
      </c>
    </row>
    <row r="11" spans="1:12" x14ac:dyDescent="0.3">
      <c r="A11" t="s">
        <v>331</v>
      </c>
      <c r="B11" t="s">
        <v>345</v>
      </c>
      <c r="C11" s="136">
        <v>2.5191956000000001E-6</v>
      </c>
      <c r="D11" s="136">
        <v>5.4348756999999998E-6</v>
      </c>
      <c r="E11" s="335" t="s">
        <v>578</v>
      </c>
    </row>
    <row r="12" spans="1:12" x14ac:dyDescent="0.3">
      <c r="A12" t="s">
        <v>423</v>
      </c>
      <c r="B12" t="s">
        <v>424</v>
      </c>
      <c r="C12" s="136">
        <v>1.6508956E-5</v>
      </c>
      <c r="D12" s="136">
        <v>2.8546766999999999E-5</v>
      </c>
      <c r="E12" s="335" t="s">
        <v>578</v>
      </c>
    </row>
    <row r="13" spans="1:12" x14ac:dyDescent="0.3">
      <c r="A13" t="s">
        <v>425</v>
      </c>
      <c r="B13" t="s">
        <v>426</v>
      </c>
      <c r="C13" s="2">
        <v>1.7353508999999999E-4</v>
      </c>
      <c r="D13" s="136">
        <v>2.1237668000000001E-4</v>
      </c>
      <c r="E13" s="335" t="s">
        <v>578</v>
      </c>
    </row>
    <row r="14" spans="1:12" x14ac:dyDescent="0.3">
      <c r="A14" t="s">
        <v>427</v>
      </c>
      <c r="B14" t="s">
        <v>428</v>
      </c>
      <c r="C14" s="2">
        <v>0.42162807000000002</v>
      </c>
      <c r="D14" s="136">
        <v>0.69846766999999998</v>
      </c>
      <c r="E14" s="335" t="s">
        <v>578</v>
      </c>
    </row>
    <row r="15" spans="1:12" x14ac:dyDescent="0.3">
      <c r="A15" t="s">
        <v>429</v>
      </c>
      <c r="B15" t="s">
        <v>430</v>
      </c>
      <c r="C15" s="2">
        <v>4.2297600999999997E-2</v>
      </c>
      <c r="D15" s="136">
        <v>0.11007992</v>
      </c>
      <c r="E15" s="335" t="s">
        <v>578</v>
      </c>
    </row>
    <row r="16" spans="1:12" x14ac:dyDescent="0.3">
      <c r="A16" t="s">
        <v>332</v>
      </c>
      <c r="B16" t="s">
        <v>431</v>
      </c>
      <c r="C16" s="2">
        <v>9.3119741999999998E-4</v>
      </c>
      <c r="D16" s="136">
        <v>7.6093280000000003E-3</v>
      </c>
      <c r="E16" s="335" t="s">
        <v>578</v>
      </c>
    </row>
    <row r="17" spans="1:5" x14ac:dyDescent="0.3">
      <c r="A17" t="s">
        <v>432</v>
      </c>
      <c r="B17" t="s">
        <v>347</v>
      </c>
      <c r="C17" s="2">
        <v>1.1585103000000001</v>
      </c>
      <c r="D17" s="136">
        <v>3.2057147000000001</v>
      </c>
      <c r="E17" s="335" t="s">
        <v>578</v>
      </c>
    </row>
    <row r="18" spans="1:5" x14ac:dyDescent="0.3">
      <c r="A18" t="s">
        <v>334</v>
      </c>
      <c r="B18" t="s">
        <v>348</v>
      </c>
      <c r="C18" s="136">
        <v>9.4112040000000002E-8</v>
      </c>
      <c r="D18" s="136">
        <v>2.2040323999999999E-7</v>
      </c>
      <c r="E18" s="335" t="s">
        <v>578</v>
      </c>
    </row>
    <row r="19" spans="1:5" x14ac:dyDescent="0.3">
      <c r="A19" t="s">
        <v>585</v>
      </c>
      <c r="B19" t="s">
        <v>586</v>
      </c>
      <c r="C19" s="2">
        <v>4.294130338037899</v>
      </c>
      <c r="D19" s="2">
        <v>4.5249633066962502</v>
      </c>
      <c r="E19" s="335" t="s">
        <v>578</v>
      </c>
    </row>
    <row r="20" spans="1:5" x14ac:dyDescent="0.3">
      <c r="A20" t="s">
        <v>571</v>
      </c>
      <c r="B20" t="s">
        <v>347</v>
      </c>
      <c r="C20" s="2">
        <f>K10</f>
        <v>1.2918521207972999</v>
      </c>
      <c r="D20" s="2">
        <f>L10</f>
        <v>3.4493322182124002</v>
      </c>
      <c r="E20" s="335" t="s">
        <v>587</v>
      </c>
    </row>
    <row r="21" spans="1:5" x14ac:dyDescent="0.3">
      <c r="C21" s="431"/>
    </row>
    <row r="22" spans="1:5" x14ac:dyDescent="0.3">
      <c r="D22" s="431"/>
    </row>
  </sheetData>
  <mergeCells count="2">
    <mergeCell ref="K1:K2"/>
    <mergeCell ref="L1:L2"/>
  </mergeCell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90680-F0D2-4084-8B80-AA9CF3F46E39}">
  <sheetPr>
    <tabColor theme="9"/>
  </sheetPr>
  <dimension ref="A1:M19"/>
  <sheetViews>
    <sheetView workbookViewId="0">
      <selection activeCell="M24" sqref="M24"/>
    </sheetView>
  </sheetViews>
  <sheetFormatPr defaultColWidth="11.44140625" defaultRowHeight="14.4" x14ac:dyDescent="0.3"/>
  <cols>
    <col min="7" max="13" width="4.6640625" customWidth="1"/>
  </cols>
  <sheetData>
    <row r="1" spans="1:13" ht="15" thickBot="1" x14ac:dyDescent="0.35">
      <c r="A1" s="7" t="s">
        <v>588</v>
      </c>
      <c r="C1" s="7" t="s">
        <v>306</v>
      </c>
      <c r="F1" s="7" t="s">
        <v>589</v>
      </c>
      <c r="H1" s="7" t="s">
        <v>316</v>
      </c>
      <c r="J1" s="7" t="s">
        <v>590</v>
      </c>
    </row>
    <row r="2" spans="1:13" ht="15" thickBot="1" x14ac:dyDescent="0.35">
      <c r="A2" s="141" t="s">
        <v>402</v>
      </c>
      <c r="C2" s="336" t="s">
        <v>434</v>
      </c>
      <c r="F2" s="302" t="s">
        <v>48</v>
      </c>
      <c r="H2" s="302" t="s">
        <v>624</v>
      </c>
      <c r="J2" t="s">
        <v>315</v>
      </c>
    </row>
    <row r="3" spans="1:13" ht="15" thickBot="1" x14ac:dyDescent="0.35">
      <c r="A3" s="141" t="s">
        <v>403</v>
      </c>
      <c r="C3" s="336" t="s">
        <v>307</v>
      </c>
      <c r="F3" s="302" t="s">
        <v>384</v>
      </c>
      <c r="H3" s="302" t="s">
        <v>617</v>
      </c>
      <c r="J3" t="s">
        <v>822</v>
      </c>
    </row>
    <row r="4" spans="1:13" ht="15" thickBot="1" x14ac:dyDescent="0.35">
      <c r="A4" s="141" t="s">
        <v>404</v>
      </c>
      <c r="C4" s="336" t="s">
        <v>435</v>
      </c>
      <c r="H4" s="302"/>
      <c r="J4" t="s">
        <v>448</v>
      </c>
    </row>
    <row r="5" spans="1:13" ht="15" thickBot="1" x14ac:dyDescent="0.35">
      <c r="A5" s="141" t="s">
        <v>196</v>
      </c>
      <c r="C5" s="336" t="s">
        <v>308</v>
      </c>
      <c r="J5" t="s">
        <v>449</v>
      </c>
    </row>
    <row r="6" spans="1:13" ht="15" thickBot="1" x14ac:dyDescent="0.35">
      <c r="A6" s="141" t="s">
        <v>303</v>
      </c>
      <c r="C6" s="336" t="s">
        <v>436</v>
      </c>
      <c r="J6" t="s">
        <v>613</v>
      </c>
    </row>
    <row r="7" spans="1:13" ht="15" thickBot="1" x14ac:dyDescent="0.35">
      <c r="A7" s="141" t="s">
        <v>302</v>
      </c>
      <c r="C7" s="336" t="s">
        <v>309</v>
      </c>
      <c r="I7" s="302"/>
    </row>
    <row r="8" spans="1:13" ht="15" thickBot="1" x14ac:dyDescent="0.35">
      <c r="A8" s="141" t="s">
        <v>406</v>
      </c>
      <c r="C8" s="336" t="s">
        <v>437</v>
      </c>
    </row>
    <row r="9" spans="1:13" ht="15" thickBot="1" x14ac:dyDescent="0.35">
      <c r="A9" s="141" t="s">
        <v>407</v>
      </c>
      <c r="C9" s="336" t="s">
        <v>438</v>
      </c>
    </row>
    <row r="10" spans="1:13" ht="15" thickBot="1" x14ac:dyDescent="0.35">
      <c r="A10" s="141" t="s">
        <v>408</v>
      </c>
      <c r="C10" s="336" t="s">
        <v>439</v>
      </c>
    </row>
    <row r="11" spans="1:13" ht="15" thickBot="1" x14ac:dyDescent="0.35">
      <c r="A11" s="141" t="s">
        <v>409</v>
      </c>
    </row>
    <row r="12" spans="1:13" ht="15" thickBot="1" x14ac:dyDescent="0.35">
      <c r="A12" s="141" t="s">
        <v>410</v>
      </c>
      <c r="C12" s="7" t="s">
        <v>591</v>
      </c>
      <c r="D12" s="337" t="s">
        <v>592</v>
      </c>
      <c r="F12" s="7" t="s">
        <v>593</v>
      </c>
    </row>
    <row r="13" spans="1:13" ht="15" thickBot="1" x14ac:dyDescent="0.35">
      <c r="A13" s="141" t="s">
        <v>411</v>
      </c>
      <c r="C13" s="336" t="s">
        <v>594</v>
      </c>
      <c r="D13" s="2" t="s">
        <v>591</v>
      </c>
      <c r="F13" s="336" t="s">
        <v>594</v>
      </c>
      <c r="G13" s="338" t="s">
        <v>595</v>
      </c>
      <c r="H13" s="339"/>
      <c r="I13" s="339"/>
      <c r="J13" s="339"/>
      <c r="K13" s="339"/>
      <c r="L13" s="339"/>
      <c r="M13" s="339"/>
    </row>
    <row r="14" spans="1:13" ht="15" thickBot="1" x14ac:dyDescent="0.35">
      <c r="A14" s="141" t="s">
        <v>412</v>
      </c>
      <c r="C14" s="302" t="s">
        <v>596</v>
      </c>
      <c r="D14" s="137">
        <v>0.45</v>
      </c>
      <c r="F14" s="302" t="s">
        <v>596</v>
      </c>
      <c r="G14">
        <v>0.28999999999999998</v>
      </c>
    </row>
    <row r="15" spans="1:13" ht="15" thickBot="1" x14ac:dyDescent="0.35">
      <c r="A15" s="141" t="s">
        <v>413</v>
      </c>
      <c r="C15" s="302" t="s">
        <v>297</v>
      </c>
      <c r="D15" s="137">
        <v>0.64</v>
      </c>
      <c r="F15" s="302" t="s">
        <v>297</v>
      </c>
      <c r="G15">
        <v>0.19</v>
      </c>
    </row>
    <row r="16" spans="1:13" ht="15" thickBot="1" x14ac:dyDescent="0.35">
      <c r="A16" s="141" t="s">
        <v>414</v>
      </c>
      <c r="C16" s="302" t="s">
        <v>597</v>
      </c>
      <c r="D16" s="137">
        <v>0.99</v>
      </c>
      <c r="F16" s="302" t="s">
        <v>597</v>
      </c>
      <c r="G16">
        <v>0.34</v>
      </c>
    </row>
    <row r="17" spans="1:7" x14ac:dyDescent="0.3">
      <c r="A17" s="141" t="s">
        <v>415</v>
      </c>
      <c r="C17" s="302" t="s">
        <v>598</v>
      </c>
      <c r="D17" s="137">
        <v>0.28999999999999998</v>
      </c>
      <c r="F17" s="302" t="s">
        <v>599</v>
      </c>
      <c r="G17">
        <v>0.34</v>
      </c>
    </row>
    <row r="18" spans="1:7" x14ac:dyDescent="0.3">
      <c r="C18" s="302" t="s">
        <v>600</v>
      </c>
      <c r="D18" s="137">
        <v>0.14000000000000001</v>
      </c>
      <c r="F18" s="302" t="s">
        <v>600</v>
      </c>
      <c r="G18">
        <v>0.31</v>
      </c>
    </row>
    <row r="19" spans="1:7" x14ac:dyDescent="0.3">
      <c r="C19" s="302" t="s">
        <v>601</v>
      </c>
      <c r="D19" s="137">
        <v>0.38</v>
      </c>
      <c r="F19" s="302" t="s">
        <v>601</v>
      </c>
      <c r="G19">
        <v>0.28999999999999998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B0F0A-7BF6-4657-AFE5-C2CD5768CBDC}">
  <dimension ref="A2:I48"/>
  <sheetViews>
    <sheetView showGridLines="0" showRowColHeaders="0" zoomScale="130" zoomScaleNormal="130" workbookViewId="0"/>
  </sheetViews>
  <sheetFormatPr defaultColWidth="8.77734375" defaultRowHeight="14.4" x14ac:dyDescent="0.3"/>
  <cols>
    <col min="2" max="2" width="24.6640625" customWidth="1"/>
    <col min="3" max="3" width="6.109375" customWidth="1"/>
    <col min="4" max="4" width="27.6640625" customWidth="1"/>
    <col min="5" max="5" width="33.109375" customWidth="1"/>
    <col min="12" max="12" width="36.77734375" customWidth="1"/>
  </cols>
  <sheetData>
    <row r="2" spans="1:7" x14ac:dyDescent="0.3">
      <c r="B2" s="416"/>
      <c r="C2" s="416"/>
      <c r="D2" s="416"/>
      <c r="E2" s="416"/>
      <c r="F2" s="416"/>
    </row>
    <row r="3" spans="1:7" x14ac:dyDescent="0.3">
      <c r="B3" s="416"/>
      <c r="C3" s="416"/>
      <c r="D3" s="416"/>
      <c r="E3" s="416"/>
      <c r="F3" s="416"/>
    </row>
    <row r="4" spans="1:7" x14ac:dyDescent="0.3">
      <c r="B4" s="416"/>
      <c r="C4" s="416"/>
      <c r="D4" s="416"/>
      <c r="E4" s="416"/>
      <c r="F4" s="416"/>
    </row>
    <row r="5" spans="1:7" x14ac:dyDescent="0.3">
      <c r="B5" s="416"/>
      <c r="C5" s="416"/>
      <c r="D5" s="416"/>
      <c r="E5" s="416"/>
      <c r="F5" s="416"/>
    </row>
    <row r="6" spans="1:7" ht="14.55" customHeight="1" x14ac:dyDescent="0.3">
      <c r="C6" s="419"/>
      <c r="D6" s="419"/>
      <c r="E6" s="419"/>
      <c r="F6" s="419"/>
      <c r="G6" s="419"/>
    </row>
    <row r="7" spans="1:7" ht="61.2" customHeight="1" x14ac:dyDescent="0.3">
      <c r="B7" s="469" t="s">
        <v>761</v>
      </c>
      <c r="C7" s="469"/>
      <c r="D7" s="469"/>
      <c r="E7" s="469"/>
      <c r="F7" s="419"/>
      <c r="G7" s="419"/>
    </row>
    <row r="8" spans="1:7" ht="17.55" customHeight="1" x14ac:dyDescent="0.3">
      <c r="B8" s="419"/>
      <c r="C8" s="419"/>
      <c r="D8" s="419"/>
      <c r="E8" s="419"/>
      <c r="F8" s="419"/>
      <c r="G8" s="419"/>
    </row>
    <row r="9" spans="1:7" x14ac:dyDescent="0.3">
      <c r="A9" s="472" t="s">
        <v>759</v>
      </c>
      <c r="B9" s="472"/>
      <c r="C9" s="419"/>
      <c r="D9" s="419"/>
      <c r="E9" s="419"/>
      <c r="F9" s="419"/>
      <c r="G9" s="419"/>
    </row>
    <row r="10" spans="1:7" x14ac:dyDescent="0.3">
      <c r="B10" s="419" t="s">
        <v>760</v>
      </c>
      <c r="C10" s="470" t="s">
        <v>823</v>
      </c>
      <c r="D10" s="471"/>
      <c r="E10" s="419"/>
      <c r="F10" s="419"/>
      <c r="G10" s="419"/>
    </row>
    <row r="11" spans="1:7" x14ac:dyDescent="0.3">
      <c r="B11" s="419" t="s">
        <v>819</v>
      </c>
      <c r="C11" s="473" t="s">
        <v>598</v>
      </c>
      <c r="D11" s="473"/>
      <c r="E11" s="419"/>
      <c r="F11" s="419"/>
      <c r="G11" s="419"/>
    </row>
    <row r="12" spans="1:7" x14ac:dyDescent="0.3">
      <c r="B12" s="419"/>
      <c r="C12" s="419"/>
      <c r="D12" s="419"/>
      <c r="E12" s="419"/>
      <c r="F12" s="419"/>
      <c r="G12" s="419"/>
    </row>
    <row r="13" spans="1:7" x14ac:dyDescent="0.3">
      <c r="A13" s="467" t="s">
        <v>293</v>
      </c>
      <c r="B13" s="467"/>
    </row>
    <row r="14" spans="1:7" x14ac:dyDescent="0.3">
      <c r="B14" t="s">
        <v>691</v>
      </c>
      <c r="C14" s="468" t="s">
        <v>608</v>
      </c>
      <c r="D14" s="468"/>
      <c r="E14" t="s">
        <v>690</v>
      </c>
    </row>
    <row r="15" spans="1:7" x14ac:dyDescent="0.3">
      <c r="B15" t="s">
        <v>609</v>
      </c>
      <c r="C15" s="468" t="s">
        <v>288</v>
      </c>
      <c r="D15" s="468"/>
      <c r="E15" t="s">
        <v>690</v>
      </c>
    </row>
    <row r="17" spans="1:9" x14ac:dyDescent="0.3">
      <c r="A17" s="467" t="s">
        <v>807</v>
      </c>
      <c r="B17" s="467"/>
    </row>
    <row r="18" spans="1:9" x14ac:dyDescent="0.3">
      <c r="B18" t="s">
        <v>808</v>
      </c>
      <c r="C18" s="420">
        <v>20</v>
      </c>
      <c r="D18" t="s">
        <v>689</v>
      </c>
    </row>
    <row r="19" spans="1:9" x14ac:dyDescent="0.3">
      <c r="B19" t="s">
        <v>809</v>
      </c>
      <c r="C19" s="420">
        <v>100</v>
      </c>
      <c r="D19" t="s">
        <v>689</v>
      </c>
    </row>
    <row r="20" spans="1:9" x14ac:dyDescent="0.3">
      <c r="B20" t="s">
        <v>810</v>
      </c>
      <c r="C20" s="420">
        <v>0.66</v>
      </c>
      <c r="D20" t="s">
        <v>806</v>
      </c>
    </row>
    <row r="22" spans="1:9" x14ac:dyDescent="0.3">
      <c r="A22" s="7" t="s">
        <v>811</v>
      </c>
    </row>
    <row r="23" spans="1:9" x14ac:dyDescent="0.3">
      <c r="A23" s="7"/>
      <c r="C23" s="459" t="s">
        <v>298</v>
      </c>
      <c r="D23" s="459"/>
      <c r="E23" s="2" t="s">
        <v>299</v>
      </c>
      <c r="F23" s="460" t="s">
        <v>300</v>
      </c>
      <c r="G23" s="460"/>
      <c r="H23" s="460"/>
    </row>
    <row r="24" spans="1:9" x14ac:dyDescent="0.3">
      <c r="A24" s="7"/>
      <c r="B24" t="s">
        <v>13</v>
      </c>
      <c r="C24" s="458" t="s">
        <v>406</v>
      </c>
      <c r="D24" s="458"/>
      <c r="E24" s="446" t="s">
        <v>404</v>
      </c>
      <c r="F24" s="458" t="s">
        <v>196</v>
      </c>
      <c r="G24" s="458"/>
      <c r="H24" s="458"/>
      <c r="I24" t="s">
        <v>690</v>
      </c>
    </row>
    <row r="25" spans="1:9" x14ac:dyDescent="0.3">
      <c r="A25" s="7"/>
      <c r="B25" t="s">
        <v>812</v>
      </c>
      <c r="C25" s="458" t="s">
        <v>308</v>
      </c>
      <c r="D25" s="458"/>
      <c r="E25" s="446" t="s">
        <v>436</v>
      </c>
      <c r="F25" s="458" t="s">
        <v>436</v>
      </c>
      <c r="G25" s="458"/>
      <c r="H25" s="458"/>
      <c r="I25" t="s">
        <v>690</v>
      </c>
    </row>
    <row r="26" spans="1:9" x14ac:dyDescent="0.3">
      <c r="A26" s="7"/>
      <c r="B26" t="s">
        <v>816</v>
      </c>
      <c r="C26" s="462">
        <v>0.95</v>
      </c>
      <c r="D26" s="463"/>
      <c r="E26" s="447">
        <v>0.03</v>
      </c>
      <c r="F26" s="462">
        <f>1-E26-C26</f>
        <v>2.0000000000000018E-2</v>
      </c>
      <c r="G26" s="464"/>
      <c r="H26" s="463"/>
    </row>
    <row r="27" spans="1:9" x14ac:dyDescent="0.3">
      <c r="A27" s="7"/>
      <c r="C27" s="465">
        <f>C26*C19</f>
        <v>95</v>
      </c>
      <c r="D27" s="465"/>
      <c r="E27" s="454">
        <f>E26*C19</f>
        <v>3</v>
      </c>
      <c r="F27" s="465">
        <f>(F26)*C19</f>
        <v>2.0000000000000018</v>
      </c>
      <c r="G27" s="465"/>
      <c r="H27" s="465"/>
    </row>
    <row r="28" spans="1:9" x14ac:dyDescent="0.3">
      <c r="A28" s="7"/>
      <c r="C28" s="466" t="s">
        <v>824</v>
      </c>
      <c r="D28" s="466"/>
      <c r="E28" s="453" t="s">
        <v>817</v>
      </c>
      <c r="F28" s="453"/>
      <c r="G28" s="453"/>
      <c r="H28" s="453"/>
    </row>
    <row r="29" spans="1:9" x14ac:dyDescent="0.3">
      <c r="A29" s="7"/>
      <c r="B29" t="s">
        <v>813</v>
      </c>
      <c r="C29" s="458" t="s">
        <v>315</v>
      </c>
      <c r="D29" s="458"/>
      <c r="E29" s="446"/>
      <c r="F29" s="461" t="s">
        <v>690</v>
      </c>
      <c r="G29" s="461"/>
      <c r="H29" s="461"/>
    </row>
    <row r="30" spans="1:9" x14ac:dyDescent="0.3">
      <c r="B30" t="s">
        <v>770</v>
      </c>
      <c r="C30" s="445">
        <v>20</v>
      </c>
      <c r="D30" t="s">
        <v>818</v>
      </c>
    </row>
    <row r="32" spans="1:9" x14ac:dyDescent="0.3">
      <c r="H32" s="421" t="s">
        <v>762</v>
      </c>
    </row>
    <row r="47" spans="2:6" x14ac:dyDescent="0.3">
      <c r="B47" t="s">
        <v>603</v>
      </c>
    </row>
    <row r="48" spans="2:6" x14ac:dyDescent="0.3">
      <c r="F48" t="s">
        <v>160</v>
      </c>
    </row>
  </sheetData>
  <mergeCells count="21">
    <mergeCell ref="A17:B17"/>
    <mergeCell ref="C14:D14"/>
    <mergeCell ref="C15:D15"/>
    <mergeCell ref="B7:E7"/>
    <mergeCell ref="C10:D10"/>
    <mergeCell ref="A9:B9"/>
    <mergeCell ref="A13:B13"/>
    <mergeCell ref="C11:D11"/>
    <mergeCell ref="C24:D24"/>
    <mergeCell ref="C25:D25"/>
    <mergeCell ref="C29:D29"/>
    <mergeCell ref="C23:D23"/>
    <mergeCell ref="F23:H23"/>
    <mergeCell ref="F24:H24"/>
    <mergeCell ref="F25:H25"/>
    <mergeCell ref="F29:H29"/>
    <mergeCell ref="C26:D26"/>
    <mergeCell ref="F26:H26"/>
    <mergeCell ref="C27:D27"/>
    <mergeCell ref="F27:H27"/>
    <mergeCell ref="C28:D28"/>
  </mergeCells>
  <dataValidations count="2">
    <dataValidation type="list" allowBlank="1" showInputMessage="1" showErrorMessage="1" sqref="E25:F25 D25 G25:H25 C25" xr:uid="{2E33630A-3729-4680-B7E7-CE75E6339B49}">
      <formula1>Process</formula1>
    </dataValidation>
    <dataValidation type="whole" allowBlank="1" showInputMessage="1" showErrorMessage="1" sqref="G26:H26 F26" xr:uid="{3562828B-1D83-4E5E-9DAE-056A610EE7BB}">
      <formula1>0</formula1>
      <formula2>100</formula2>
    </dataValidation>
  </dataValidations>
  <hyperlinks>
    <hyperlink ref="H32" location="'Input - Circular Flow'!A1" display="Next page →" xr:uid="{99A9C2EF-5A84-4842-8683-2E65CC4AA093}"/>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427C28D-2F5B-4C0F-854E-B2CB9D091A19}">
          <x14:formula1>
            <xm:f>'Sus Dev - Environmental'!$A$25:$A$29</xm:f>
          </x14:formula1>
          <xm:sqref>C14</xm:sqref>
        </x14:dataValidation>
        <x14:dataValidation type="list" errorStyle="warning" allowBlank="1" showInputMessage="1" showErrorMessage="1" errorTitle="Ivalid data" error="It might be that you updated the packaging type and need to re-select the single use alternative" xr:uid="{1381F40B-94E3-40BD-9451-CDC252E56EB6}">
          <x14:formula1>
            <xm:f>'Sus Dev - Environmental'!$B$35:$B$38</xm:f>
          </x14:formula1>
          <xm:sqref>C15</xm:sqref>
        </x14:dataValidation>
        <x14:dataValidation type="list" allowBlank="1" showInputMessage="1" showErrorMessage="1" xr:uid="{AF267E7B-6EAF-4215-B228-636589050441}">
          <x14:formula1>
            <xm:f>DGliste!$A$2:$A$17</xm:f>
          </x14:formula1>
          <xm:sqref>C24:H24</xm:sqref>
        </x14:dataValidation>
        <x14:dataValidation type="list" allowBlank="1" showInputMessage="1" showErrorMessage="1" xr:uid="{A2A9D246-119A-4450-A3FA-C97B7D342133}">
          <x14:formula1>
            <xm:f>DGliste!$J$2:$J$6</xm:f>
          </x14:formula1>
          <xm:sqref>C29:D29</xm:sqref>
        </x14:dataValidation>
        <x14:dataValidation type="list" allowBlank="1" showInputMessage="1" showErrorMessage="1" xr:uid="{1B4F3E6E-39D3-4ED9-8B5B-346FC76A55B0}">
          <x14:formula1>
            <xm:f>DGliste!$C$14:$C$19</xm:f>
          </x14:formula1>
          <xm:sqref>C11:D11</xm:sqref>
        </x14:dataValidation>
        <x14:dataValidation type="list" allowBlank="1" showInputMessage="1" showErrorMessage="1" xr:uid="{D26301E3-CF59-430F-8F4C-5C403BA27BCA}">
          <x14:formula1>
            <xm:f>DGliste!$J$2:$J$7</xm:f>
          </x14:formula1>
          <xm:sqref>E29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53414-89EE-41C4-B03A-E1B8DF96C40B}">
  <dimension ref="B6:H23"/>
  <sheetViews>
    <sheetView showGridLines="0" showRowColHeaders="0" zoomScale="130" zoomScaleNormal="130" workbookViewId="0"/>
  </sheetViews>
  <sheetFormatPr defaultColWidth="8.77734375" defaultRowHeight="14.4" x14ac:dyDescent="0.3"/>
  <cols>
    <col min="2" max="2" width="59.44140625" bestFit="1" customWidth="1"/>
    <col min="6" max="6" width="8.77734375" customWidth="1"/>
  </cols>
  <sheetData>
    <row r="6" spans="2:5" x14ac:dyDescent="0.3">
      <c r="B6" s="469" t="s">
        <v>763</v>
      </c>
      <c r="C6" s="469"/>
      <c r="D6" s="469"/>
      <c r="E6" s="469"/>
    </row>
    <row r="7" spans="2:5" x14ac:dyDescent="0.3">
      <c r="B7" s="469"/>
      <c r="C7" s="469"/>
      <c r="D7" s="469"/>
      <c r="E7" s="469"/>
    </row>
    <row r="8" spans="2:5" ht="45.45" customHeight="1" x14ac:dyDescent="0.3">
      <c r="B8" s="469"/>
      <c r="C8" s="469"/>
      <c r="D8" s="469"/>
      <c r="E8" s="469"/>
    </row>
    <row r="9" spans="2:5" x14ac:dyDescent="0.3">
      <c r="B9" s="2"/>
      <c r="C9" s="2"/>
      <c r="D9" s="2"/>
      <c r="E9" s="2"/>
    </row>
    <row r="10" spans="2:5" x14ac:dyDescent="0.3">
      <c r="B10" t="s">
        <v>38</v>
      </c>
      <c r="C10" s="429" t="s">
        <v>39</v>
      </c>
    </row>
    <row r="11" spans="2:5" x14ac:dyDescent="0.3">
      <c r="B11" t="s">
        <v>43</v>
      </c>
      <c r="C11" s="429" t="s">
        <v>44</v>
      </c>
      <c r="D11" s="420">
        <v>95</v>
      </c>
      <c r="E11" t="s">
        <v>45</v>
      </c>
    </row>
    <row r="12" spans="2:5" x14ac:dyDescent="0.3">
      <c r="B12" t="s">
        <v>64</v>
      </c>
      <c r="C12" s="429" t="s">
        <v>65</v>
      </c>
      <c r="D12" s="420">
        <v>85</v>
      </c>
      <c r="E12" t="s">
        <v>45</v>
      </c>
    </row>
    <row r="13" spans="2:5" x14ac:dyDescent="0.3">
      <c r="B13" t="s">
        <v>66</v>
      </c>
      <c r="C13" s="429" t="s">
        <v>67</v>
      </c>
      <c r="D13" s="420">
        <v>15</v>
      </c>
      <c r="E13" t="s">
        <v>45</v>
      </c>
    </row>
    <row r="14" spans="2:5" x14ac:dyDescent="0.3">
      <c r="B14" t="s">
        <v>68</v>
      </c>
      <c r="C14" s="429" t="s">
        <v>69</v>
      </c>
      <c r="D14" s="420">
        <v>1</v>
      </c>
      <c r="E14" t="s">
        <v>70</v>
      </c>
    </row>
    <row r="15" spans="2:5" x14ac:dyDescent="0.3">
      <c r="B15" t="s">
        <v>751</v>
      </c>
      <c r="C15" s="429"/>
      <c r="D15" s="420" t="s">
        <v>755</v>
      </c>
      <c r="E15" t="s">
        <v>690</v>
      </c>
    </row>
    <row r="16" spans="2:5" x14ac:dyDescent="0.3">
      <c r="B16" t="s">
        <v>73</v>
      </c>
      <c r="C16" s="429" t="s">
        <v>74</v>
      </c>
      <c r="D16" s="420">
        <v>11</v>
      </c>
      <c r="E16" t="s">
        <v>75</v>
      </c>
    </row>
    <row r="17" spans="2:8" x14ac:dyDescent="0.3">
      <c r="B17" t="s">
        <v>751</v>
      </c>
      <c r="C17" s="429"/>
      <c r="D17" s="420" t="s">
        <v>755</v>
      </c>
      <c r="E17" t="s">
        <v>690</v>
      </c>
    </row>
    <row r="18" spans="2:8" x14ac:dyDescent="0.3">
      <c r="B18" t="s">
        <v>78</v>
      </c>
      <c r="C18" s="429" t="s">
        <v>79</v>
      </c>
      <c r="D18" s="420">
        <v>0.9</v>
      </c>
      <c r="E18" t="s">
        <v>80</v>
      </c>
    </row>
    <row r="19" spans="2:8" x14ac:dyDescent="0.3">
      <c r="B19" t="s">
        <v>81</v>
      </c>
      <c r="C19" s="429" t="s">
        <v>82</v>
      </c>
      <c r="D19" s="420">
        <v>0.6</v>
      </c>
      <c r="E19" t="s">
        <v>80</v>
      </c>
    </row>
    <row r="23" spans="2:8" x14ac:dyDescent="0.3">
      <c r="B23" s="421" t="s">
        <v>764</v>
      </c>
      <c r="H23" s="421" t="s">
        <v>762</v>
      </c>
    </row>
  </sheetData>
  <mergeCells count="1">
    <mergeCell ref="B6:E8"/>
  </mergeCells>
  <dataValidations count="1">
    <dataValidation type="list" allowBlank="1" showInputMessage="1" showErrorMessage="1" sqref="D15 D17" xr:uid="{EC6AC746-6135-4DD6-921F-35F08AF6A841}">
      <formula1>"A lot more, A bit more, Similar, A bit less, A lot less"</formula1>
    </dataValidation>
  </dataValidations>
  <hyperlinks>
    <hyperlink ref="H23" location="'Input - Value'!A1" display="Next page →" xr:uid="{E11DDC02-1444-484B-9259-F7E396552969}"/>
    <hyperlink ref="B23" location="'Input - Life Cycle Information'!A1" display="← Previous page" xr:uid="{0E428687-BA7D-4E46-84AB-90C7D9692172}"/>
  </hyperlink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0395F-CEB5-420D-8FB6-DD1507295776}">
  <dimension ref="A2:H47"/>
  <sheetViews>
    <sheetView showGridLines="0" showRowColHeaders="0" zoomScale="130" zoomScaleNormal="130" workbookViewId="0"/>
  </sheetViews>
  <sheetFormatPr defaultColWidth="8.77734375" defaultRowHeight="14.4" x14ac:dyDescent="0.3"/>
  <cols>
    <col min="2" max="2" width="22.109375" customWidth="1"/>
    <col min="3" max="3" width="60.44140625" customWidth="1"/>
    <col min="4" max="4" width="7" customWidth="1"/>
  </cols>
  <sheetData>
    <row r="2" spans="1:4" ht="14.55" customHeight="1" x14ac:dyDescent="0.3">
      <c r="B2" s="416"/>
    </row>
    <row r="6" spans="1:4" x14ac:dyDescent="0.3">
      <c r="B6" s="474" t="s">
        <v>820</v>
      </c>
      <c r="C6" s="460"/>
      <c r="D6" s="460"/>
    </row>
    <row r="7" spans="1:4" x14ac:dyDescent="0.3">
      <c r="B7" s="460"/>
      <c r="C7" s="460"/>
      <c r="D7" s="460"/>
    </row>
    <row r="8" spans="1:4" x14ac:dyDescent="0.3">
      <c r="B8" s="460"/>
      <c r="C8" s="460"/>
      <c r="D8" s="460"/>
    </row>
    <row r="9" spans="1:4" ht="24.45" customHeight="1" x14ac:dyDescent="0.3">
      <c r="B9" s="460"/>
      <c r="C9" s="460"/>
      <c r="D9" s="460"/>
    </row>
    <row r="11" spans="1:4" x14ac:dyDescent="0.3">
      <c r="A11" s="7" t="s">
        <v>757</v>
      </c>
    </row>
    <row r="12" spans="1:4" ht="28.2" customHeight="1" x14ac:dyDescent="0.3">
      <c r="B12" s="419" t="s">
        <v>138</v>
      </c>
      <c r="C12" s="422" t="s">
        <v>259</v>
      </c>
      <c r="D12" s="16" t="s">
        <v>690</v>
      </c>
    </row>
    <row r="13" spans="1:4" ht="30.45" customHeight="1" x14ac:dyDescent="0.3">
      <c r="B13" s="419" t="s">
        <v>139</v>
      </c>
      <c r="C13" s="422" t="s">
        <v>256</v>
      </c>
      <c r="D13" s="16" t="s">
        <v>690</v>
      </c>
    </row>
    <row r="14" spans="1:4" ht="13.2" customHeight="1" x14ac:dyDescent="0.3">
      <c r="B14" s="16"/>
      <c r="C14" s="416"/>
      <c r="D14" s="16"/>
    </row>
    <row r="15" spans="1:4" x14ac:dyDescent="0.3">
      <c r="A15" s="7" t="s">
        <v>6</v>
      </c>
      <c r="B15" s="16"/>
      <c r="D15" s="16"/>
    </row>
    <row r="16" spans="1:4" ht="43.8" customHeight="1" x14ac:dyDescent="0.3">
      <c r="B16" s="419" t="s">
        <v>161</v>
      </c>
      <c r="C16" s="436" t="s">
        <v>151</v>
      </c>
      <c r="D16" s="16" t="s">
        <v>690</v>
      </c>
    </row>
    <row r="17" spans="2:8" ht="43.8" customHeight="1" x14ac:dyDescent="0.3">
      <c r="B17" s="419" t="s">
        <v>162</v>
      </c>
      <c r="C17" s="436" t="s">
        <v>155</v>
      </c>
      <c r="D17" s="16" t="s">
        <v>690</v>
      </c>
    </row>
    <row r="19" spans="2:8" x14ac:dyDescent="0.3">
      <c r="B19" t="s">
        <v>168</v>
      </c>
      <c r="C19" s="420" t="s">
        <v>186</v>
      </c>
      <c r="D19" s="16" t="s">
        <v>690</v>
      </c>
    </row>
    <row r="20" spans="2:8" ht="14.55" customHeight="1" x14ac:dyDescent="0.3">
      <c r="B20" t="s">
        <v>206</v>
      </c>
      <c r="C20" s="420" t="s">
        <v>227</v>
      </c>
      <c r="D20" s="16" t="s">
        <v>690</v>
      </c>
      <c r="E20" s="475" t="s">
        <v>802</v>
      </c>
      <c r="F20" s="475"/>
    </row>
    <row r="21" spans="2:8" x14ac:dyDescent="0.3">
      <c r="B21" t="s">
        <v>207</v>
      </c>
      <c r="C21" s="420" t="s">
        <v>223</v>
      </c>
      <c r="D21" s="16" t="s">
        <v>690</v>
      </c>
      <c r="E21" s="475"/>
      <c r="F21" s="475"/>
    </row>
    <row r="22" spans="2:8" x14ac:dyDescent="0.3">
      <c r="B22" t="s">
        <v>208</v>
      </c>
      <c r="C22" s="420" t="s">
        <v>229</v>
      </c>
      <c r="D22" s="16" t="s">
        <v>690</v>
      </c>
      <c r="E22" s="475"/>
      <c r="F22" s="475"/>
    </row>
    <row r="23" spans="2:8" x14ac:dyDescent="0.3">
      <c r="B23" t="s">
        <v>209</v>
      </c>
      <c r="C23" s="420" t="s">
        <v>235</v>
      </c>
      <c r="D23" s="16" t="s">
        <v>690</v>
      </c>
      <c r="E23" s="475"/>
      <c r="F23" s="475"/>
    </row>
    <row r="24" spans="2:8" x14ac:dyDescent="0.3">
      <c r="B24" t="s">
        <v>210</v>
      </c>
      <c r="C24" s="420" t="s">
        <v>221</v>
      </c>
      <c r="D24" s="16" t="s">
        <v>690</v>
      </c>
      <c r="E24" s="475"/>
      <c r="F24" s="475"/>
    </row>
    <row r="25" spans="2:8" x14ac:dyDescent="0.3">
      <c r="B25" t="s">
        <v>211</v>
      </c>
      <c r="C25" s="420" t="s">
        <v>239</v>
      </c>
      <c r="D25" s="16" t="s">
        <v>690</v>
      </c>
      <c r="E25" s="475"/>
      <c r="F25" s="475"/>
    </row>
    <row r="27" spans="2:8" x14ac:dyDescent="0.3">
      <c r="B27" s="421" t="s">
        <v>764</v>
      </c>
      <c r="H27" s="421" t="s">
        <v>762</v>
      </c>
    </row>
    <row r="46" spans="3:4" x14ac:dyDescent="0.3">
      <c r="C46" s="475" t="s">
        <v>803</v>
      </c>
      <c r="D46" s="475"/>
    </row>
    <row r="47" spans="3:4" ht="14.55" customHeight="1" x14ac:dyDescent="0.3">
      <c r="C47" s="475"/>
      <c r="D47" s="475"/>
    </row>
  </sheetData>
  <mergeCells count="3">
    <mergeCell ref="B6:D9"/>
    <mergeCell ref="E20:F25"/>
    <mergeCell ref="C46:D47"/>
  </mergeCells>
  <hyperlinks>
    <hyperlink ref="B27" location="'Input - Circular Flow'!A1" display="← Previous page" xr:uid="{85B94669-67D4-4F38-BBF8-30F4A359CD52}"/>
    <hyperlink ref="H27" location="'Input - Sustainable Development'!A1" display="Next page →" xr:uid="{A30C3F18-9066-4C64-AB49-0F85C64FD005}"/>
  </hyperlinks>
  <pageMargins left="0.7" right="0.7" top="0.75" bottom="0.75" header="0.3" footer="0.3"/>
  <drawing r:id="rId1"/>
  <extLst>
    <ext xmlns:x14="http://schemas.microsoft.com/office/spreadsheetml/2009/9/main" uri="{CCE6A557-97BC-4b89-ADB6-D9C93CAAB3DF}">
      <x14:dataValidations xmlns:xm="http://schemas.microsoft.com/office/excel/2006/main" count="11">
        <x14:dataValidation type="list" allowBlank="1" showInputMessage="1" showErrorMessage="1" xr:uid="{C8D310FA-8EEE-418E-BE78-ED7FFDB56484}">
          <x14:formula1>
            <xm:f>'Value - Food waste'!$I$4:$I$6</xm:f>
          </x14:formula1>
          <xm:sqref>C12</xm:sqref>
        </x14:dataValidation>
        <x14:dataValidation type="list" allowBlank="1" showInputMessage="1" showErrorMessage="1" xr:uid="{7F89DE61-CD9B-491E-945B-2CAB04D09594}">
          <x14:formula1>
            <xm:f>'Value - Food waste'!$I$8:$I$10</xm:f>
          </x14:formula1>
          <xm:sqref>C13:C14</xm:sqref>
        </x14:dataValidation>
        <x14:dataValidation type="list" allowBlank="1" showInputMessage="1" showErrorMessage="1" xr:uid="{F29BD61A-A846-4BE4-8596-1075AFDF1035}">
          <x14:formula1>
            <xm:f>'Value - Material safety'!$I$20:$I$23</xm:f>
          </x14:formula1>
          <xm:sqref>C16</xm:sqref>
        </x14:dataValidation>
        <x14:dataValidation type="list" allowBlank="1" showInputMessage="1" showErrorMessage="1" xr:uid="{2051F0D0-6293-41EB-AE9D-B1FDFEEA116E}">
          <x14:formula1>
            <xm:f>'Value - Material safety'!$I$26:$I$31</xm:f>
          </x14:formula1>
          <xm:sqref>C17</xm:sqref>
        </x14:dataValidation>
        <x14:dataValidation type="list" allowBlank="1" showInputMessage="1" showErrorMessage="1" xr:uid="{A9D1B6BA-EBF7-408B-873D-3A2BD6128F87}">
          <x14:formula1>
            <xm:f>'Value - Material safety'!$H$51:$H$82</xm:f>
          </x14:formula1>
          <xm:sqref>C19</xm:sqref>
        </x14:dataValidation>
        <x14:dataValidation type="list" allowBlank="1" showInputMessage="1" showErrorMessage="1" xr:uid="{3A6EBF6D-13D8-46F7-80A1-C42726A63E83}">
          <x14:formula1>
            <xm:f>'Value - Material safety'!$N$51:$N$55</xm:f>
          </x14:formula1>
          <xm:sqref>C20</xm:sqref>
        </x14:dataValidation>
        <x14:dataValidation type="list" allowBlank="1" showInputMessage="1" showErrorMessage="1" xr:uid="{3B8D8884-4818-4241-9799-33B9EBA1E5BA}">
          <x14:formula1>
            <xm:f>'Value - Material safety'!$P$51:$P$55</xm:f>
          </x14:formula1>
          <xm:sqref>C21</xm:sqref>
        </x14:dataValidation>
        <x14:dataValidation type="list" allowBlank="1" showInputMessage="1" showErrorMessage="1" xr:uid="{BACD169B-B9F3-473E-AADA-9989691A54F0}">
          <x14:formula1>
            <xm:f>'Value - Material safety'!$R$51:$R$55</xm:f>
          </x14:formula1>
          <xm:sqref>C22</xm:sqref>
        </x14:dataValidation>
        <x14:dataValidation type="list" allowBlank="1" showInputMessage="1" showErrorMessage="1" xr:uid="{2AD3F1DE-7509-4EF5-ADEE-62E55A395637}">
          <x14:formula1>
            <xm:f>'Value - Material safety'!$T$51:$T$55</xm:f>
          </x14:formula1>
          <xm:sqref>C23</xm:sqref>
        </x14:dataValidation>
        <x14:dataValidation type="list" allowBlank="1" showInputMessage="1" showErrorMessage="1" xr:uid="{051824E7-DFB5-4AC4-AFF6-4BD8BAC5205A}">
          <x14:formula1>
            <xm:f>'Value - Material safety'!$V$51:$V$55</xm:f>
          </x14:formula1>
          <xm:sqref>C24</xm:sqref>
        </x14:dataValidation>
        <x14:dataValidation type="list" allowBlank="1" showInputMessage="1" showErrorMessage="1" xr:uid="{DCBE171F-D029-4C61-AB26-EFB1669BF141}">
          <x14:formula1>
            <xm:f>'Value - Material safety'!$X$51:$X$55</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C2838-911C-4605-AD07-F983F0E3567C}">
  <dimension ref="A2:Q36"/>
  <sheetViews>
    <sheetView showGridLines="0" showRowColHeaders="0" zoomScale="130" zoomScaleNormal="130" workbookViewId="0"/>
  </sheetViews>
  <sheetFormatPr defaultColWidth="8.77734375" defaultRowHeight="14.4" x14ac:dyDescent="0.3"/>
  <cols>
    <col min="2" max="2" width="24.77734375" customWidth="1"/>
  </cols>
  <sheetData>
    <row r="2" spans="1:13" x14ac:dyDescent="0.3">
      <c r="B2" s="416"/>
      <c r="C2" s="416"/>
      <c r="D2" s="416"/>
      <c r="E2" s="416"/>
      <c r="F2" s="416"/>
      <c r="G2" s="416"/>
      <c r="H2" s="416"/>
      <c r="I2" s="416"/>
      <c r="J2" s="416"/>
    </row>
    <row r="3" spans="1:13" x14ac:dyDescent="0.3">
      <c r="B3" s="416"/>
      <c r="C3" s="416"/>
      <c r="D3" s="416"/>
      <c r="E3" s="416"/>
      <c r="F3" s="416"/>
      <c r="G3" s="416"/>
      <c r="H3" s="416"/>
      <c r="I3" s="416"/>
      <c r="J3" s="416"/>
    </row>
    <row r="4" spans="1:13" x14ac:dyDescent="0.3">
      <c r="B4" s="416"/>
      <c r="C4" s="416"/>
      <c r="D4" s="416"/>
      <c r="E4" s="416"/>
      <c r="F4" s="416"/>
      <c r="G4" s="416"/>
      <c r="H4" s="416"/>
      <c r="I4" s="416"/>
      <c r="J4" s="416"/>
    </row>
    <row r="5" spans="1:13" x14ac:dyDescent="0.3">
      <c r="B5" s="416"/>
      <c r="C5" s="416"/>
      <c r="D5" s="416"/>
      <c r="E5" s="416"/>
      <c r="F5" s="416"/>
      <c r="G5" s="416"/>
      <c r="H5" s="416"/>
      <c r="I5" s="416"/>
      <c r="J5" s="416"/>
    </row>
    <row r="6" spans="1:13" x14ac:dyDescent="0.3">
      <c r="B6" s="474" t="s">
        <v>765</v>
      </c>
      <c r="C6" s="474"/>
      <c r="D6" s="474"/>
      <c r="E6" s="474"/>
      <c r="F6" s="474"/>
      <c r="G6" s="474"/>
      <c r="H6" s="474"/>
      <c r="I6" s="474"/>
      <c r="J6" s="474"/>
    </row>
    <row r="7" spans="1:13" x14ac:dyDescent="0.3">
      <c r="B7" s="474"/>
      <c r="C7" s="474"/>
      <c r="D7" s="474"/>
      <c r="E7" s="474"/>
      <c r="F7" s="474"/>
      <c r="G7" s="474"/>
      <c r="H7" s="474"/>
      <c r="I7" s="474"/>
      <c r="J7" s="474"/>
    </row>
    <row r="8" spans="1:13" x14ac:dyDescent="0.3">
      <c r="B8" s="474"/>
      <c r="C8" s="474"/>
      <c r="D8" s="474"/>
      <c r="E8" s="474"/>
      <c r="F8" s="474"/>
      <c r="G8" s="474"/>
      <c r="H8" s="474"/>
      <c r="I8" s="474"/>
      <c r="J8" s="474"/>
    </row>
    <row r="9" spans="1:13" x14ac:dyDescent="0.3">
      <c r="B9" s="474"/>
      <c r="C9" s="474"/>
      <c r="D9" s="474"/>
      <c r="E9" s="474"/>
      <c r="F9" s="474"/>
      <c r="G9" s="474"/>
      <c r="H9" s="474"/>
      <c r="I9" s="474"/>
      <c r="J9" s="474"/>
    </row>
    <row r="10" spans="1:13" x14ac:dyDescent="0.3">
      <c r="B10" s="3"/>
      <c r="C10" s="3"/>
      <c r="D10" s="3"/>
      <c r="E10" s="3"/>
      <c r="F10" s="3"/>
      <c r="G10" s="3"/>
      <c r="H10" s="3"/>
      <c r="I10" s="3"/>
      <c r="J10" s="3"/>
    </row>
    <row r="11" spans="1:13" x14ac:dyDescent="0.3">
      <c r="A11" s="7" t="s">
        <v>707</v>
      </c>
    </row>
    <row r="12" spans="1:13" x14ac:dyDescent="0.3">
      <c r="B12" t="s">
        <v>799</v>
      </c>
      <c r="C12" s="420">
        <v>5</v>
      </c>
      <c r="D12" t="s">
        <v>706</v>
      </c>
    </row>
    <row r="13" spans="1:13" x14ac:dyDescent="0.3">
      <c r="B13" t="s">
        <v>800</v>
      </c>
      <c r="C13" s="420">
        <v>0.5</v>
      </c>
      <c r="D13" t="s">
        <v>706</v>
      </c>
    </row>
    <row r="15" spans="1:13" x14ac:dyDescent="0.3">
      <c r="A15" s="7" t="s">
        <v>650</v>
      </c>
    </row>
    <row r="16" spans="1:13" x14ac:dyDescent="0.3">
      <c r="A16" s="7"/>
      <c r="B16" s="469" t="s">
        <v>769</v>
      </c>
      <c r="C16" s="469"/>
      <c r="D16" s="469"/>
      <c r="E16" s="469"/>
      <c r="F16" s="469"/>
      <c r="G16" s="469"/>
      <c r="H16" s="469"/>
      <c r="I16" s="469"/>
      <c r="J16" s="469"/>
      <c r="K16" s="469"/>
      <c r="L16" s="469"/>
      <c r="M16" s="469"/>
    </row>
    <row r="17" spans="1:17" x14ac:dyDescent="0.3">
      <c r="B17" s="469"/>
      <c r="C17" s="469"/>
      <c r="D17" s="469"/>
      <c r="E17" s="469"/>
      <c r="F17" s="469"/>
      <c r="G17" s="469"/>
      <c r="H17" s="469"/>
      <c r="I17" s="469"/>
      <c r="J17" s="469"/>
      <c r="K17" s="469"/>
      <c r="L17" s="469"/>
      <c r="M17" s="469"/>
    </row>
    <row r="18" spans="1:17" x14ac:dyDescent="0.3">
      <c r="B18" s="330"/>
      <c r="C18" s="330"/>
      <c r="D18" s="330"/>
      <c r="E18" s="330"/>
      <c r="F18" s="330"/>
      <c r="G18" s="330"/>
      <c r="H18" s="330"/>
      <c r="I18" s="330"/>
      <c r="J18" s="330"/>
      <c r="K18" s="330"/>
      <c r="L18" s="330"/>
      <c r="M18" s="330"/>
    </row>
    <row r="19" spans="1:17" ht="28.8" customHeight="1" x14ac:dyDescent="0.3">
      <c r="A19" s="477" t="s">
        <v>651</v>
      </c>
      <c r="B19" s="423" t="s">
        <v>766</v>
      </c>
      <c r="C19" s="476" t="s">
        <v>647</v>
      </c>
      <c r="D19" s="476"/>
      <c r="E19" s="476"/>
      <c r="F19" s="476"/>
      <c r="G19" s="476"/>
      <c r="H19" s="476"/>
      <c r="I19" s="476"/>
      <c r="J19" s="476"/>
      <c r="K19" s="476"/>
      <c r="L19" s="476"/>
      <c r="M19" s="476"/>
    </row>
    <row r="20" spans="1:17" ht="28.8" customHeight="1" x14ac:dyDescent="0.3">
      <c r="A20" s="477"/>
      <c r="B20" s="423" t="s">
        <v>767</v>
      </c>
      <c r="C20" s="476" t="s">
        <v>648</v>
      </c>
      <c r="D20" s="476"/>
      <c r="E20" s="476"/>
      <c r="F20" s="476"/>
      <c r="G20" s="476"/>
      <c r="H20" s="476"/>
      <c r="I20" s="476"/>
      <c r="J20" s="476"/>
      <c r="K20" s="476"/>
      <c r="L20" s="476"/>
      <c r="M20" s="476"/>
    </row>
    <row r="21" spans="1:17" ht="28.8" customHeight="1" x14ac:dyDescent="0.3">
      <c r="A21" s="477"/>
      <c r="B21" s="423" t="s">
        <v>768</v>
      </c>
      <c r="C21" s="476" t="s">
        <v>649</v>
      </c>
      <c r="D21" s="476"/>
      <c r="E21" s="476"/>
      <c r="F21" s="476"/>
      <c r="G21" s="476"/>
      <c r="H21" s="476"/>
      <c r="I21" s="476"/>
      <c r="J21" s="476"/>
      <c r="K21" s="476"/>
      <c r="L21" s="476"/>
      <c r="M21" s="476"/>
    </row>
    <row r="22" spans="1:17" x14ac:dyDescent="0.3">
      <c r="B22" s="417"/>
      <c r="C22" s="418"/>
      <c r="D22" s="418"/>
      <c r="E22" s="418"/>
      <c r="F22" s="331"/>
      <c r="G22" s="331"/>
      <c r="H22" s="331"/>
      <c r="I22" s="331"/>
      <c r="J22" s="331"/>
      <c r="K22" s="331"/>
      <c r="L22" s="331"/>
      <c r="M22" s="331"/>
    </row>
    <row r="23" spans="1:17" ht="28.8" customHeight="1" x14ac:dyDescent="0.3">
      <c r="A23" s="477" t="s">
        <v>654</v>
      </c>
      <c r="B23" s="423" t="s">
        <v>766</v>
      </c>
      <c r="C23" s="476" t="s">
        <v>647</v>
      </c>
      <c r="D23" s="476"/>
      <c r="E23" s="476"/>
      <c r="F23" s="476"/>
      <c r="G23" s="476"/>
      <c r="H23" s="476"/>
      <c r="I23" s="476"/>
      <c r="J23" s="476"/>
      <c r="K23" s="476"/>
      <c r="L23" s="476"/>
      <c r="M23" s="476"/>
      <c r="O23" s="474"/>
      <c r="P23" s="474"/>
      <c r="Q23" s="474"/>
    </row>
    <row r="24" spans="1:17" ht="28.8" customHeight="1" x14ac:dyDescent="0.3">
      <c r="A24" s="477"/>
      <c r="B24" s="423" t="s">
        <v>767</v>
      </c>
      <c r="C24" s="476" t="s">
        <v>648</v>
      </c>
      <c r="D24" s="476"/>
      <c r="E24" s="476"/>
      <c r="F24" s="476"/>
      <c r="G24" s="476"/>
      <c r="H24" s="476"/>
      <c r="I24" s="476"/>
      <c r="J24" s="476"/>
      <c r="K24" s="476"/>
      <c r="L24" s="476"/>
      <c r="M24" s="476"/>
      <c r="O24" s="474"/>
      <c r="P24" s="474"/>
      <c r="Q24" s="474"/>
    </row>
    <row r="25" spans="1:17" ht="28.8" customHeight="1" x14ac:dyDescent="0.3">
      <c r="A25" s="477"/>
      <c r="B25" s="423" t="s">
        <v>768</v>
      </c>
      <c r="C25" s="476" t="s">
        <v>649</v>
      </c>
      <c r="D25" s="476"/>
      <c r="E25" s="476"/>
      <c r="F25" s="476"/>
      <c r="G25" s="476"/>
      <c r="H25" s="476"/>
      <c r="I25" s="476"/>
      <c r="J25" s="476"/>
      <c r="K25" s="476"/>
      <c r="L25" s="476"/>
      <c r="M25" s="476"/>
    </row>
    <row r="26" spans="1:17" x14ac:dyDescent="0.3">
      <c r="B26" s="417"/>
      <c r="C26" s="331"/>
      <c r="D26" s="331"/>
      <c r="E26" s="331"/>
      <c r="F26" s="331"/>
      <c r="G26" s="331"/>
      <c r="H26" s="331"/>
      <c r="I26" s="331"/>
      <c r="J26" s="331"/>
      <c r="K26" s="331"/>
      <c r="L26" s="331"/>
      <c r="M26" s="331"/>
    </row>
    <row r="27" spans="1:17" ht="28.8" customHeight="1" x14ac:dyDescent="0.3">
      <c r="A27" s="477" t="s">
        <v>758</v>
      </c>
      <c r="B27" s="423" t="s">
        <v>766</v>
      </c>
      <c r="C27" s="476" t="s">
        <v>647</v>
      </c>
      <c r="D27" s="476"/>
      <c r="E27" s="476"/>
      <c r="F27" s="476"/>
      <c r="G27" s="476"/>
      <c r="H27" s="476"/>
      <c r="I27" s="476"/>
      <c r="J27" s="476"/>
      <c r="K27" s="476"/>
      <c r="L27" s="476"/>
      <c r="M27" s="476"/>
    </row>
    <row r="28" spans="1:17" ht="28.8" customHeight="1" x14ac:dyDescent="0.3">
      <c r="A28" s="477"/>
      <c r="B28" s="423" t="s">
        <v>767</v>
      </c>
      <c r="C28" s="476" t="s">
        <v>648</v>
      </c>
      <c r="D28" s="476"/>
      <c r="E28" s="476"/>
      <c r="F28" s="476"/>
      <c r="G28" s="476"/>
      <c r="H28" s="476"/>
      <c r="I28" s="476"/>
      <c r="J28" s="476"/>
      <c r="K28" s="476"/>
      <c r="L28" s="476"/>
      <c r="M28" s="476"/>
    </row>
    <row r="29" spans="1:17" ht="28.8" customHeight="1" x14ac:dyDescent="0.3">
      <c r="A29" s="477"/>
      <c r="B29" s="423" t="s">
        <v>768</v>
      </c>
      <c r="C29" s="476" t="s">
        <v>649</v>
      </c>
      <c r="D29" s="476"/>
      <c r="E29" s="476"/>
      <c r="F29" s="476"/>
      <c r="G29" s="476"/>
      <c r="H29" s="476"/>
      <c r="I29" s="476"/>
      <c r="J29" s="476"/>
      <c r="K29" s="476"/>
      <c r="L29" s="476"/>
      <c r="M29" s="476"/>
    </row>
    <row r="30" spans="1:17" x14ac:dyDescent="0.3">
      <c r="B30" s="417"/>
      <c r="C30" s="331"/>
      <c r="D30" s="331"/>
      <c r="E30" s="331"/>
      <c r="F30" s="331"/>
      <c r="G30" s="331"/>
      <c r="H30" s="331"/>
      <c r="I30" s="331"/>
      <c r="J30" s="331"/>
      <c r="K30" s="331"/>
      <c r="L30" s="331"/>
      <c r="M30" s="331"/>
    </row>
    <row r="31" spans="1:17" ht="28.8" customHeight="1" x14ac:dyDescent="0.3">
      <c r="A31" s="477" t="s">
        <v>653</v>
      </c>
      <c r="B31" s="423" t="s">
        <v>766</v>
      </c>
      <c r="C31" s="476" t="s">
        <v>647</v>
      </c>
      <c r="D31" s="476"/>
      <c r="E31" s="476"/>
      <c r="F31" s="476"/>
      <c r="G31" s="476"/>
      <c r="H31" s="476"/>
      <c r="I31" s="476"/>
      <c r="J31" s="476"/>
      <c r="K31" s="476"/>
      <c r="L31" s="476"/>
      <c r="M31" s="476"/>
    </row>
    <row r="32" spans="1:17" ht="28.8" customHeight="1" x14ac:dyDescent="0.3">
      <c r="A32" s="477"/>
      <c r="B32" s="423" t="s">
        <v>767</v>
      </c>
      <c r="C32" s="476" t="s">
        <v>648</v>
      </c>
      <c r="D32" s="476"/>
      <c r="E32" s="476"/>
      <c r="F32" s="476"/>
      <c r="G32" s="476"/>
      <c r="H32" s="476"/>
      <c r="I32" s="476"/>
      <c r="J32" s="476"/>
      <c r="K32" s="476"/>
      <c r="L32" s="476"/>
      <c r="M32" s="476"/>
    </row>
    <row r="33" spans="1:14" ht="28.8" customHeight="1" x14ac:dyDescent="0.3">
      <c r="A33" s="477"/>
      <c r="B33" s="423" t="s">
        <v>768</v>
      </c>
      <c r="C33" s="476" t="s">
        <v>649</v>
      </c>
      <c r="D33" s="476"/>
      <c r="E33" s="476"/>
      <c r="F33" s="476"/>
      <c r="G33" s="476"/>
      <c r="H33" s="476"/>
      <c r="I33" s="476"/>
      <c r="J33" s="476"/>
      <c r="K33" s="476"/>
      <c r="L33" s="476"/>
      <c r="M33" s="476"/>
    </row>
    <row r="36" spans="1:14" x14ac:dyDescent="0.3">
      <c r="B36" s="421" t="s">
        <v>764</v>
      </c>
      <c r="N36" s="421" t="s">
        <v>794</v>
      </c>
    </row>
  </sheetData>
  <mergeCells count="19">
    <mergeCell ref="C32:M32"/>
    <mergeCell ref="C33:M33"/>
    <mergeCell ref="A19:A21"/>
    <mergeCell ref="A23:A25"/>
    <mergeCell ref="A27:A29"/>
    <mergeCell ref="A31:A33"/>
    <mergeCell ref="C21:M21"/>
    <mergeCell ref="C23:M23"/>
    <mergeCell ref="C24:M24"/>
    <mergeCell ref="C25:M25"/>
    <mergeCell ref="C27:M27"/>
    <mergeCell ref="C28:M28"/>
    <mergeCell ref="C19:M19"/>
    <mergeCell ref="C20:M20"/>
    <mergeCell ref="O23:Q24"/>
    <mergeCell ref="B6:J9"/>
    <mergeCell ref="B16:M17"/>
    <mergeCell ref="C29:M29"/>
    <mergeCell ref="C31:M31"/>
  </mergeCells>
  <hyperlinks>
    <hyperlink ref="N36" location="'Output - Results'!A1" display="Results →" xr:uid="{540ECD06-1A83-4D26-821E-774290195CAB}"/>
    <hyperlink ref="B36" location="'Input - Value'!A1" display="← Previous page" xr:uid="{4ADC6BE0-F3ED-4B14-BCF1-FDA8C8BCBEAF}"/>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171C9DD-0075-4CF8-A98D-EA5281F8FAEA}">
          <x14:formula1>
            <xm:f>'Sus Dev - Social'!$I$9:$I$11</xm:f>
          </x14:formula1>
          <xm:sqref>D30:E30 C19 D26:E26 C23 C26:C27 C30:C31</xm:sqref>
        </x14:dataValidation>
        <x14:dataValidation type="list" allowBlank="1" showInputMessage="1" showErrorMessage="1" xr:uid="{66C403C4-BBC9-45A1-B5CF-271A17D9BB9D}">
          <x14:formula1>
            <xm:f>'Sus Dev - Social'!$J$9:$J$11</xm:f>
          </x14:formula1>
          <xm:sqref>F30:G30 C20 C28 F26:G26 F22:G22 C24 C32</xm:sqref>
        </x14:dataValidation>
        <x14:dataValidation type="list" allowBlank="1" showInputMessage="1" showErrorMessage="1" xr:uid="{4E021717-1A1E-4570-A2C6-9DD1CD1697AF}">
          <x14:formula1>
            <xm:f>'Sus Dev - Social'!$K$9:$K$11</xm:f>
          </x14:formula1>
          <xm:sqref>C21 H30 H26 C25 H22 C29 C33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821F2-E138-4FEF-9137-B4F72E7D6ECC}">
  <dimension ref="A2:Y46"/>
  <sheetViews>
    <sheetView showGridLines="0" showRowColHeaders="0" zoomScale="130" zoomScaleNormal="130" workbookViewId="0"/>
  </sheetViews>
  <sheetFormatPr defaultColWidth="8.77734375" defaultRowHeight="14.4" x14ac:dyDescent="0.3"/>
  <cols>
    <col min="2" max="2" width="28.33203125" customWidth="1"/>
    <col min="3" max="3" width="29.44140625" customWidth="1"/>
    <col min="6" max="6" width="10.77734375" customWidth="1"/>
    <col min="7" max="7" width="9.109375" customWidth="1"/>
  </cols>
  <sheetData>
    <row r="2" spans="1:25" x14ac:dyDescent="0.3">
      <c r="U2" t="s">
        <v>12</v>
      </c>
      <c r="V2" t="s">
        <v>13</v>
      </c>
      <c r="W2" t="s">
        <v>14</v>
      </c>
      <c r="X2" t="s">
        <v>15</v>
      </c>
      <c r="Y2" t="s">
        <v>16</v>
      </c>
    </row>
    <row r="3" spans="1:25" x14ac:dyDescent="0.3">
      <c r="T3" t="s">
        <v>17</v>
      </c>
      <c r="U3" t="s">
        <v>18</v>
      </c>
      <c r="V3" t="s">
        <v>19</v>
      </c>
      <c r="X3" t="s">
        <v>19</v>
      </c>
      <c r="Y3" t="s">
        <v>19</v>
      </c>
    </row>
    <row r="4" spans="1:25" x14ac:dyDescent="0.3">
      <c r="T4" t="s">
        <v>20</v>
      </c>
      <c r="U4" t="s">
        <v>4</v>
      </c>
      <c r="V4" t="s">
        <v>21</v>
      </c>
      <c r="W4" t="s">
        <v>19</v>
      </c>
      <c r="X4" t="s">
        <v>21</v>
      </c>
      <c r="Y4" t="s">
        <v>21</v>
      </c>
    </row>
    <row r="5" spans="1:25" x14ac:dyDescent="0.3">
      <c r="B5" s="478" t="str">
        <f>'Input - Life Cycle Information'!C10</f>
        <v>Dropack</v>
      </c>
      <c r="C5" s="478"/>
      <c r="D5" s="478"/>
      <c r="E5" s="478"/>
      <c r="F5" s="478"/>
      <c r="U5" t="s">
        <v>22</v>
      </c>
      <c r="V5" t="s">
        <v>19</v>
      </c>
      <c r="W5" t="s">
        <v>19</v>
      </c>
      <c r="X5" t="s">
        <v>19</v>
      </c>
    </row>
    <row r="6" spans="1:25" x14ac:dyDescent="0.3">
      <c r="U6" t="s">
        <v>6</v>
      </c>
      <c r="V6" t="s">
        <v>19</v>
      </c>
      <c r="W6" t="s">
        <v>21</v>
      </c>
      <c r="X6" t="s">
        <v>19</v>
      </c>
    </row>
    <row r="7" spans="1:25" x14ac:dyDescent="0.3">
      <c r="F7" s="4"/>
    </row>
    <row r="8" spans="1:25" ht="14.55" customHeight="1" x14ac:dyDescent="0.3">
      <c r="C8" s="424">
        <f>'CFR - PCI'!J59</f>
        <v>0.98776031568877554</v>
      </c>
      <c r="D8" s="4"/>
      <c r="E8" s="4"/>
      <c r="F8" s="479" t="s">
        <v>791</v>
      </c>
      <c r="G8" s="479"/>
      <c r="H8" s="479"/>
      <c r="I8" s="479"/>
      <c r="T8" t="s">
        <v>23</v>
      </c>
      <c r="U8" t="s">
        <v>24</v>
      </c>
      <c r="V8" t="s">
        <v>19</v>
      </c>
      <c r="W8" t="s">
        <v>19</v>
      </c>
      <c r="X8" t="s">
        <v>19</v>
      </c>
      <c r="Y8" t="s">
        <v>19</v>
      </c>
    </row>
    <row r="9" spans="1:25" x14ac:dyDescent="0.3">
      <c r="C9" s="425">
        <f>1-C8</f>
        <v>1.2239684311224464E-2</v>
      </c>
      <c r="D9" s="4"/>
      <c r="E9" s="4"/>
      <c r="F9" s="469" t="str">
        <f>CONCATENATE(F28,F29,F30,G30,H30,F31,H31,I31,F32)</f>
        <v>Across the seven assessed categories, Dropack achieved a good score for Circular flow of resources, and a poor score for Value.</v>
      </c>
      <c r="G9" s="469"/>
      <c r="H9" s="469"/>
      <c r="I9" s="469"/>
      <c r="L9" s="13"/>
      <c r="U9" t="s">
        <v>29</v>
      </c>
    </row>
    <row r="10" spans="1:25" ht="14.55" customHeight="1" x14ac:dyDescent="0.3">
      <c r="C10" s="424">
        <f>'Value - Overpackaging'!K10</f>
        <v>0.2</v>
      </c>
      <c r="D10" s="4"/>
      <c r="E10" s="4"/>
      <c r="F10" s="469"/>
      <c r="G10" s="469"/>
      <c r="H10" s="469"/>
      <c r="I10" s="469"/>
      <c r="U10" t="s">
        <v>30</v>
      </c>
    </row>
    <row r="11" spans="1:25" x14ac:dyDescent="0.3">
      <c r="C11" s="425">
        <f>1-C10</f>
        <v>0.8</v>
      </c>
      <c r="D11" s="4"/>
      <c r="E11" s="4"/>
      <c r="F11" s="469"/>
      <c r="G11" s="469"/>
      <c r="H11" s="469"/>
      <c r="I11" s="469"/>
      <c r="U11" t="s">
        <v>31</v>
      </c>
    </row>
    <row r="12" spans="1:25" x14ac:dyDescent="0.3">
      <c r="C12" s="424">
        <f>'Value - Food waste'!K23</f>
        <v>0.5</v>
      </c>
      <c r="D12" s="4"/>
      <c r="E12" s="4"/>
      <c r="F12" s="469"/>
      <c r="G12" s="469"/>
      <c r="H12" s="469"/>
      <c r="I12" s="469"/>
      <c r="L12" s="13"/>
      <c r="U12" t="s">
        <v>32</v>
      </c>
    </row>
    <row r="13" spans="1:25" x14ac:dyDescent="0.3">
      <c r="C13" s="425">
        <f>1-C12</f>
        <v>0.5</v>
      </c>
      <c r="D13" s="4"/>
      <c r="E13" s="4"/>
      <c r="F13" s="469" t="str">
        <f>CONCATENATE(F34,G34,H34,F35,F36,G36,F37,G37,H37,F38,I38,F39)</f>
        <v>Based on 20 uses, the reusable case performed better than single-use in 7 of 8 environmental impact cases and performed better than the single-use case for economic impact, and better than the single-use case for social impact.</v>
      </c>
      <c r="G13" s="469"/>
      <c r="H13" s="469"/>
      <c r="I13" s="469"/>
      <c r="U13" t="s">
        <v>33</v>
      </c>
    </row>
    <row r="14" spans="1:25" ht="14.55" customHeight="1" x14ac:dyDescent="0.3">
      <c r="C14" s="424">
        <f>'Value - Material safety'!S3</f>
        <v>0.11805555555555555</v>
      </c>
      <c r="D14" s="4"/>
      <c r="E14" s="4"/>
      <c r="F14" s="469"/>
      <c r="G14" s="469"/>
      <c r="H14" s="469"/>
      <c r="I14" s="469"/>
      <c r="U14" t="s">
        <v>34</v>
      </c>
    </row>
    <row r="15" spans="1:25" ht="14.55" customHeight="1" x14ac:dyDescent="0.3">
      <c r="C15" s="425">
        <f>1-C14</f>
        <v>0.88194444444444442</v>
      </c>
      <c r="D15" s="4"/>
      <c r="E15" s="4"/>
      <c r="F15" s="469"/>
      <c r="G15" s="469"/>
      <c r="H15" s="469"/>
      <c r="I15" s="469"/>
      <c r="U15" t="s">
        <v>35</v>
      </c>
    </row>
    <row r="16" spans="1:25" ht="14.55" customHeight="1" x14ac:dyDescent="0.3">
      <c r="A16" s="428">
        <f>IF(C16&gt;C17,1,0)</f>
        <v>0</v>
      </c>
      <c r="B16" s="428">
        <f>IF(C17&gt;C16,1,0)</f>
        <v>1</v>
      </c>
      <c r="C16" s="426">
        <f>MEDIAN(C29,C31,C33,C35,C37,C39,C41,C43)</f>
        <v>4</v>
      </c>
      <c r="D16" s="4"/>
      <c r="E16" s="4"/>
      <c r="F16" s="469"/>
      <c r="G16" s="469"/>
      <c r="H16" s="469"/>
      <c r="I16" s="469"/>
      <c r="U16" t="s">
        <v>36</v>
      </c>
    </row>
    <row r="17" spans="1:21" x14ac:dyDescent="0.3">
      <c r="A17" s="429"/>
      <c r="B17" s="429"/>
      <c r="C17" s="427">
        <f>'Input - Life Cycle Information'!C30</f>
        <v>20</v>
      </c>
      <c r="D17" s="4"/>
      <c r="E17" s="4"/>
      <c r="F17" s="469"/>
      <c r="G17" s="469"/>
      <c r="H17" s="469"/>
      <c r="I17" s="469"/>
    </row>
    <row r="18" spans="1:21" x14ac:dyDescent="0.3">
      <c r="A18" s="428">
        <f>IF(C18&gt;C19,1,0)</f>
        <v>0</v>
      </c>
      <c r="B18" s="428">
        <f>IF(C19&gt;C18,1,0)</f>
        <v>1</v>
      </c>
      <c r="C18" s="426">
        <f>'Sus Dev - Economic'!J23</f>
        <v>12.5</v>
      </c>
      <c r="D18" s="4"/>
      <c r="E18" s="4"/>
      <c r="F18" s="469"/>
      <c r="G18" s="469"/>
      <c r="H18" s="469"/>
      <c r="I18" s="469"/>
      <c r="U18" t="s">
        <v>37</v>
      </c>
    </row>
    <row r="19" spans="1:21" x14ac:dyDescent="0.3">
      <c r="A19" s="429"/>
      <c r="B19" s="429"/>
      <c r="C19" s="427">
        <f>'Input - Life Cycle Information'!C30</f>
        <v>20</v>
      </c>
      <c r="D19" s="4"/>
      <c r="E19" s="4"/>
      <c r="F19" s="469" t="str">
        <f>CONCATENATE(F40,I40,F41,G41,H41)</f>
        <v>Break-even points were between  1 and 2101 uses.</v>
      </c>
      <c r="G19" s="469"/>
      <c r="H19" s="469"/>
      <c r="I19" s="469"/>
    </row>
    <row r="20" spans="1:21" x14ac:dyDescent="0.3">
      <c r="A20" s="428">
        <f>IF(C20&gt;C21,1,0)</f>
        <v>0</v>
      </c>
      <c r="B20" s="428">
        <f>IF(C21&gt;C20,1,0)</f>
        <v>1</v>
      </c>
      <c r="C20" s="426">
        <f>'Sus Dev - Social'!N27</f>
        <v>0.66666667037037042</v>
      </c>
      <c r="D20" s="4"/>
      <c r="E20" s="4"/>
      <c r="F20" s="469"/>
      <c r="G20" s="469"/>
      <c r="H20" s="469"/>
      <c r="I20" s="469"/>
      <c r="U20" t="s">
        <v>37</v>
      </c>
    </row>
    <row r="21" spans="1:21" x14ac:dyDescent="0.3">
      <c r="C21" s="427">
        <f>'Input - Life Cycle Information'!C30</f>
        <v>20</v>
      </c>
      <c r="D21" s="4"/>
      <c r="E21" s="4"/>
    </row>
    <row r="22" spans="1:21" x14ac:dyDescent="0.3">
      <c r="C22" s="424" t="s">
        <v>771</v>
      </c>
      <c r="D22" s="4"/>
      <c r="E22" s="4"/>
    </row>
    <row r="23" spans="1:21" ht="24.6" x14ac:dyDescent="0.3">
      <c r="C23" s="443" t="s">
        <v>804</v>
      </c>
      <c r="F23" s="474"/>
      <c r="G23" s="474"/>
      <c r="H23" s="474"/>
      <c r="I23" s="474"/>
    </row>
    <row r="24" spans="1:21" x14ac:dyDescent="0.3">
      <c r="F24" s="474"/>
      <c r="G24" s="474"/>
      <c r="H24" s="474"/>
      <c r="I24" s="474"/>
    </row>
    <row r="25" spans="1:21" x14ac:dyDescent="0.3">
      <c r="C25" s="10"/>
      <c r="D25" s="10"/>
      <c r="E25" s="10"/>
      <c r="F25" s="10"/>
      <c r="G25" s="10"/>
      <c r="H25" s="10"/>
      <c r="I25" s="10"/>
      <c r="J25" s="10"/>
      <c r="K25" s="10"/>
    </row>
    <row r="26" spans="1:21" x14ac:dyDescent="0.3">
      <c r="A26" s="7" t="s">
        <v>772</v>
      </c>
      <c r="C26" s="10"/>
      <c r="D26" s="10"/>
      <c r="E26" s="10"/>
      <c r="F26" s="10"/>
      <c r="G26" s="10"/>
      <c r="H26" s="10"/>
      <c r="I26" s="10"/>
      <c r="J26" s="10"/>
      <c r="K26" s="10"/>
    </row>
    <row r="27" spans="1:21" ht="14.55" customHeight="1" x14ac:dyDescent="0.3">
      <c r="C27" s="553" t="s">
        <v>773</v>
      </c>
      <c r="D27" s="10"/>
      <c r="E27" s="10"/>
      <c r="F27" s="10"/>
      <c r="G27" s="10"/>
      <c r="H27" s="10"/>
      <c r="I27" s="10"/>
      <c r="J27" s="10"/>
      <c r="K27" s="10"/>
    </row>
    <row r="28" spans="1:21" x14ac:dyDescent="0.3">
      <c r="C28" s="553"/>
      <c r="D28" s="429"/>
      <c r="E28" s="429"/>
      <c r="F28" s="432" t="s">
        <v>777</v>
      </c>
      <c r="G28" s="433"/>
      <c r="H28" s="433"/>
      <c r="I28" s="433"/>
      <c r="J28" s="10"/>
      <c r="K28" s="10"/>
    </row>
    <row r="29" spans="1:21" x14ac:dyDescent="0.3">
      <c r="B29" t="s">
        <v>330</v>
      </c>
      <c r="C29" s="554">
        <f>'Sus Dev - Environmental'!T19</f>
        <v>11</v>
      </c>
      <c r="D29" s="429">
        <f>IF(C29&lt;C30,1,0)</f>
        <v>1</v>
      </c>
      <c r="E29" s="429"/>
      <c r="F29" s="434" t="str">
        <f>B5</f>
        <v>Dropack</v>
      </c>
      <c r="G29" s="434"/>
      <c r="H29" s="434"/>
      <c r="I29" s="434"/>
      <c r="J29" s="10"/>
      <c r="K29" s="10"/>
    </row>
    <row r="30" spans="1:21" x14ac:dyDescent="0.3">
      <c r="A30" s="428">
        <f>IF(C29&gt;C30,1,0)</f>
        <v>0</v>
      </c>
      <c r="B30" s="428">
        <f>IF(C30&gt;C29,1,0)</f>
        <v>1</v>
      </c>
      <c r="C30" s="430">
        <f>'Input - Life Cycle Information'!C30</f>
        <v>20</v>
      </c>
      <c r="D30" s="429"/>
      <c r="E30" s="429"/>
      <c r="F30" s="432" t="s">
        <v>792</v>
      </c>
      <c r="G30" s="435" t="str">
        <f>IF(((C8)&gt;0.9),"good",(IF(((C8)&gt;0.7),"reasonable",(IF(((C8)&gt;0.5),"moderate","poor")))))</f>
        <v>good</v>
      </c>
      <c r="H30" s="432" t="s">
        <v>778</v>
      </c>
      <c r="I30" s="433"/>
      <c r="J30" s="10"/>
      <c r="K30" s="10"/>
    </row>
    <row r="31" spans="1:21" x14ac:dyDescent="0.3">
      <c r="B31" t="s">
        <v>685</v>
      </c>
      <c r="C31" s="554">
        <f>'Sus Dev - Environmental'!T20</f>
        <v>2</v>
      </c>
      <c r="D31" s="429">
        <f>IF(C31&lt;C32,1,0)</f>
        <v>1</v>
      </c>
      <c r="E31" s="429"/>
      <c r="F31" s="432" t="s">
        <v>776</v>
      </c>
      <c r="G31" s="429"/>
      <c r="H31" s="433" t="str">
        <f>IF(((C10+C12+C14)&gt;2.6),"good",(IF(((C10+C12+C14)&gt;2.1),"reasonable",(IF(((C10+C12+C14)&gt;1.5),"moderate","poor")))))</f>
        <v>poor</v>
      </c>
      <c r="I31" s="433" t="s">
        <v>779</v>
      </c>
      <c r="J31" s="10"/>
      <c r="K31" s="10"/>
    </row>
    <row r="32" spans="1:21" x14ac:dyDescent="0.3">
      <c r="A32" s="428">
        <f>IF(C31&gt;C32,1,0)</f>
        <v>0</v>
      </c>
      <c r="B32" s="428">
        <f>IF(C32&gt;C31,1,0)</f>
        <v>1</v>
      </c>
      <c r="C32" s="430">
        <f>'Input - Life Cycle Information'!C30</f>
        <v>20</v>
      </c>
      <c r="D32" s="429"/>
      <c r="E32" s="429"/>
      <c r="F32" s="432" t="s">
        <v>780</v>
      </c>
      <c r="G32" s="432"/>
      <c r="H32" s="432"/>
      <c r="I32" s="433"/>
      <c r="J32" s="10"/>
      <c r="K32" s="10"/>
    </row>
    <row r="33" spans="1:11" x14ac:dyDescent="0.3">
      <c r="B33" t="s">
        <v>331</v>
      </c>
      <c r="C33" s="554">
        <f>'Sus Dev - Environmental'!T21</f>
        <v>2</v>
      </c>
      <c r="D33" s="429">
        <f>IF(C33&lt;C34,1,0)</f>
        <v>1</v>
      </c>
      <c r="E33" s="429"/>
      <c r="F33" s="429"/>
      <c r="G33" s="429"/>
      <c r="H33" s="429"/>
      <c r="I33" s="429"/>
      <c r="J33" s="10"/>
      <c r="K33" s="10"/>
    </row>
    <row r="34" spans="1:11" x14ac:dyDescent="0.3">
      <c r="A34" s="428">
        <f>IF(C33&gt;C34,1,0)</f>
        <v>0</v>
      </c>
      <c r="B34" s="428">
        <f>IF(C34&gt;C33,1,0)</f>
        <v>1</v>
      </c>
      <c r="C34" s="430">
        <f>'Input - Life Cycle Information'!C30</f>
        <v>20</v>
      </c>
      <c r="D34" s="429"/>
      <c r="E34" s="429"/>
      <c r="F34" s="432" t="s">
        <v>781</v>
      </c>
      <c r="G34" s="429">
        <f>C30</f>
        <v>20</v>
      </c>
      <c r="H34" s="429" t="s">
        <v>782</v>
      </c>
      <c r="I34" s="429"/>
      <c r="J34" s="10"/>
      <c r="K34" s="10"/>
    </row>
    <row r="35" spans="1:11" x14ac:dyDescent="0.3">
      <c r="B35" t="s">
        <v>329</v>
      </c>
      <c r="C35" s="554">
        <f>'Sus Dev - Environmental'!T22</f>
        <v>4</v>
      </c>
      <c r="D35" s="429">
        <f>IF(C35&lt;C36,1,0)</f>
        <v>1</v>
      </c>
      <c r="E35" s="429"/>
      <c r="F35" s="432" t="s">
        <v>783</v>
      </c>
      <c r="G35" s="429"/>
      <c r="H35" s="429"/>
      <c r="I35" s="433"/>
      <c r="J35" s="10"/>
      <c r="K35" s="10"/>
    </row>
    <row r="36" spans="1:11" x14ac:dyDescent="0.3">
      <c r="A36" s="428">
        <f>IF(C35&gt;C36,1,0)</f>
        <v>0</v>
      </c>
      <c r="B36" s="428">
        <f>IF(C36&gt;C35,1,0)</f>
        <v>1</v>
      </c>
      <c r="C36" s="430">
        <f>'Input - Life Cycle Information'!C30</f>
        <v>20</v>
      </c>
      <c r="D36" s="429"/>
      <c r="E36" s="429"/>
      <c r="F36" s="433">
        <f>SUM(D29,D31,D33,D35,D37,D39,D41,D43)</f>
        <v>7</v>
      </c>
      <c r="G36" s="432" t="s">
        <v>784</v>
      </c>
      <c r="H36" s="429"/>
      <c r="I36" s="433"/>
      <c r="J36" s="10"/>
      <c r="K36" s="10"/>
    </row>
    <row r="37" spans="1:11" x14ac:dyDescent="0.3">
      <c r="B37" t="s">
        <v>328</v>
      </c>
      <c r="C37" s="554">
        <f>'Sus Dev - Environmental'!T23</f>
        <v>2101</v>
      </c>
      <c r="D37" s="429">
        <f>IF(C37&lt;C38,1,0)</f>
        <v>0</v>
      </c>
      <c r="E37" s="429"/>
      <c r="F37" s="432" t="s">
        <v>785</v>
      </c>
      <c r="G37" s="433" t="str">
        <f>IF(C18&lt;C19,"better","worse")</f>
        <v>better</v>
      </c>
      <c r="H37" s="432" t="s">
        <v>786</v>
      </c>
      <c r="I37" s="433"/>
      <c r="J37" s="10"/>
      <c r="K37" s="10"/>
    </row>
    <row r="38" spans="1:11" x14ac:dyDescent="0.3">
      <c r="A38" s="428">
        <f>IF(C37&gt;C38,1,0)</f>
        <v>1</v>
      </c>
      <c r="B38" s="428">
        <f>IF(C38&gt;C37,1,0)</f>
        <v>0</v>
      </c>
      <c r="C38" s="430">
        <f>'Input - Life Cycle Information'!C30</f>
        <v>20</v>
      </c>
      <c r="D38" s="429"/>
      <c r="E38" s="429"/>
      <c r="F38" s="432" t="s">
        <v>787</v>
      </c>
      <c r="G38" s="433"/>
      <c r="H38" s="433"/>
      <c r="I38" s="433" t="str">
        <f>IF(C20&lt;C21,"better","worse")</f>
        <v>better</v>
      </c>
      <c r="J38" s="10"/>
      <c r="K38" s="10"/>
    </row>
    <row r="39" spans="1:11" x14ac:dyDescent="0.3">
      <c r="B39" t="s">
        <v>432</v>
      </c>
      <c r="C39" s="554">
        <f>'Sus Dev - Environmental'!T24</f>
        <v>4</v>
      </c>
      <c r="D39" s="429">
        <f>IF(C39&lt;C40,1,0)</f>
        <v>1</v>
      </c>
      <c r="E39" s="429"/>
      <c r="F39" s="432" t="s">
        <v>793</v>
      </c>
      <c r="G39" s="433"/>
      <c r="H39" s="433"/>
      <c r="I39" s="433"/>
      <c r="J39" s="10"/>
      <c r="K39" s="10"/>
    </row>
    <row r="40" spans="1:11" x14ac:dyDescent="0.3">
      <c r="A40" s="428">
        <f>IF(C39&gt;C40,1,0)</f>
        <v>0</v>
      </c>
      <c r="B40" s="428">
        <f>IF(C40&gt;C39,1,0)</f>
        <v>1</v>
      </c>
      <c r="C40" s="430">
        <f>'Input - Life Cycle Information'!C30</f>
        <v>20</v>
      </c>
      <c r="D40" s="429"/>
      <c r="E40" s="429"/>
      <c r="F40" s="432" t="s">
        <v>788</v>
      </c>
      <c r="G40" s="429"/>
      <c r="H40" s="429"/>
      <c r="I40" s="428">
        <f>ROUND(MIN(C18,C20,C29,C31,C33,C35,C37,C39,C41,C43),0)</f>
        <v>1</v>
      </c>
      <c r="J40" s="10"/>
      <c r="K40" s="10"/>
    </row>
    <row r="41" spans="1:11" x14ac:dyDescent="0.3">
      <c r="B41" t="s">
        <v>334</v>
      </c>
      <c r="C41" s="554">
        <f>'Sus Dev - Environmental'!T25</f>
        <v>4</v>
      </c>
      <c r="D41" s="429">
        <f>IF(C41&lt;C42,1,0)</f>
        <v>1</v>
      </c>
      <c r="E41" s="429"/>
      <c r="F41" s="432" t="s">
        <v>789</v>
      </c>
      <c r="G41" s="428">
        <f>MAX(C18,C20,C29,C31,C33,C35,C37,C39,C41,C43)</f>
        <v>2101</v>
      </c>
      <c r="H41" s="429" t="s">
        <v>790</v>
      </c>
      <c r="I41" s="429"/>
      <c r="J41" s="10"/>
      <c r="K41" s="10"/>
    </row>
    <row r="42" spans="1:11" x14ac:dyDescent="0.3">
      <c r="A42" s="428">
        <f>IF(C41&gt;C42,1,0)</f>
        <v>0</v>
      </c>
      <c r="B42" s="428">
        <f>IF(C42&gt;C41,1,0)</f>
        <v>1</v>
      </c>
      <c r="C42" s="430">
        <f>'Input - Life Cycle Information'!C30</f>
        <v>20</v>
      </c>
      <c r="D42" s="429"/>
      <c r="E42" s="429"/>
      <c r="F42" s="429"/>
      <c r="G42" s="429"/>
      <c r="H42" s="429"/>
      <c r="I42" s="429"/>
      <c r="J42" s="10"/>
      <c r="K42" s="10"/>
    </row>
    <row r="43" spans="1:11" x14ac:dyDescent="0.3">
      <c r="B43" t="s">
        <v>332</v>
      </c>
      <c r="C43" s="554">
        <f>'Sus Dev - Environmental'!T26</f>
        <v>3</v>
      </c>
      <c r="D43" s="429">
        <f>IF(C43&lt;C44,1,0)</f>
        <v>1</v>
      </c>
      <c r="E43" s="429"/>
      <c r="F43" s="429"/>
      <c r="G43" s="429"/>
      <c r="H43" s="429"/>
      <c r="I43" s="429"/>
      <c r="J43" s="10"/>
      <c r="K43" s="10"/>
    </row>
    <row r="44" spans="1:11" x14ac:dyDescent="0.3">
      <c r="A44" s="428">
        <f>IF(C43&gt;C44,1,0)</f>
        <v>0</v>
      </c>
      <c r="B44" s="428">
        <f>IF(C44&gt;C43,1,0)</f>
        <v>1</v>
      </c>
      <c r="C44" s="430">
        <f>'Input - Life Cycle Information'!C30</f>
        <v>20</v>
      </c>
      <c r="D44" s="429"/>
      <c r="E44" s="429"/>
      <c r="F44" s="429"/>
      <c r="G44" s="429"/>
      <c r="H44" s="429"/>
      <c r="I44" s="429"/>
      <c r="J44" s="10"/>
      <c r="K44" s="10"/>
    </row>
    <row r="45" spans="1:11" x14ac:dyDescent="0.3">
      <c r="C45" s="553"/>
    </row>
    <row r="46" spans="1:11" x14ac:dyDescent="0.3">
      <c r="C46" s="553"/>
    </row>
  </sheetData>
  <mergeCells count="6">
    <mergeCell ref="B5:F5"/>
    <mergeCell ref="F23:I24"/>
    <mergeCell ref="F8:I8"/>
    <mergeCell ref="F9:I12"/>
    <mergeCell ref="F13:I18"/>
    <mergeCell ref="F19:I20"/>
  </mergeCells>
  <pageMargins left="0.7" right="0.7" top="0.75" bottom="0.75" header="0.3" footer="0.3"/>
  <ignoredErrors>
    <ignoredError sqref="C20 C18 C31 C33 C35 C39 C41 C43 C10 C12 C14 C37" formula="1"/>
  </ignoredErrors>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629C5-4B69-4212-BE8F-A40E99046A95}">
  <dimension ref="A1:U59"/>
  <sheetViews>
    <sheetView topLeftCell="J1" workbookViewId="0">
      <selection activeCell="O3" sqref="O3"/>
    </sheetView>
  </sheetViews>
  <sheetFormatPr defaultColWidth="8.77734375" defaultRowHeight="14.4" x14ac:dyDescent="0.3"/>
  <cols>
    <col min="8" max="8" width="61" customWidth="1"/>
    <col min="11" max="11" width="21.33203125" bestFit="1" customWidth="1"/>
    <col min="12" max="12" width="23" bestFit="1" customWidth="1"/>
  </cols>
  <sheetData>
    <row r="1" spans="1:21" x14ac:dyDescent="0.3">
      <c r="B1" t="s">
        <v>12</v>
      </c>
      <c r="C1" t="s">
        <v>13</v>
      </c>
      <c r="D1" t="s">
        <v>14</v>
      </c>
      <c r="E1" t="s">
        <v>15</v>
      </c>
      <c r="F1" t="s">
        <v>16</v>
      </c>
      <c r="H1" t="s">
        <v>38</v>
      </c>
      <c r="I1" t="s">
        <v>39</v>
      </c>
      <c r="J1" t="s">
        <v>40</v>
      </c>
      <c r="K1" t="s">
        <v>41</v>
      </c>
      <c r="L1" t="s">
        <v>42</v>
      </c>
      <c r="M1" t="s">
        <v>128</v>
      </c>
    </row>
    <row r="2" spans="1:21" x14ac:dyDescent="0.3">
      <c r="A2" s="5" t="s">
        <v>17</v>
      </c>
      <c r="B2" s="5" t="s">
        <v>18</v>
      </c>
      <c r="C2" s="5" t="s">
        <v>19</v>
      </c>
      <c r="D2" s="5"/>
      <c r="E2" s="5" t="s">
        <v>19</v>
      </c>
      <c r="F2" s="5" t="s">
        <v>19</v>
      </c>
      <c r="H2" t="s">
        <v>43</v>
      </c>
      <c r="I2" t="s">
        <v>44</v>
      </c>
      <c r="J2" t="s">
        <v>45</v>
      </c>
      <c r="M2" s="6">
        <f>'Input - Circular Flow'!D11/100</f>
        <v>0.95</v>
      </c>
      <c r="O2" s="415">
        <f>M2</f>
        <v>0.95</v>
      </c>
    </row>
    <row r="3" spans="1:21" x14ac:dyDescent="0.3">
      <c r="A3" t="s">
        <v>20</v>
      </c>
      <c r="B3" t="s">
        <v>4</v>
      </c>
      <c r="C3" t="s">
        <v>21</v>
      </c>
      <c r="D3" t="s">
        <v>19</v>
      </c>
      <c r="E3" t="s">
        <v>21</v>
      </c>
      <c r="F3" t="s">
        <v>21</v>
      </c>
      <c r="H3" t="s">
        <v>46</v>
      </c>
      <c r="I3" t="s">
        <v>47</v>
      </c>
      <c r="J3" t="s">
        <v>45</v>
      </c>
      <c r="L3" t="s">
        <v>48</v>
      </c>
      <c r="O3" s="415">
        <f>'PCI Fr values'!Y6</f>
        <v>0</v>
      </c>
      <c r="P3" t="s">
        <v>749</v>
      </c>
    </row>
    <row r="4" spans="1:21" x14ac:dyDescent="0.3">
      <c r="B4" t="s">
        <v>22</v>
      </c>
      <c r="C4" t="s">
        <v>19</v>
      </c>
      <c r="D4" t="s">
        <v>19</v>
      </c>
      <c r="E4" t="s">
        <v>19</v>
      </c>
      <c r="H4" t="s">
        <v>49</v>
      </c>
      <c r="I4" t="s">
        <v>50</v>
      </c>
      <c r="J4" t="s">
        <v>51</v>
      </c>
      <c r="M4" s="6">
        <f>'Input - Life Cycle Information'!C19/1000</f>
        <v>0.1</v>
      </c>
      <c r="N4" t="s">
        <v>692</v>
      </c>
      <c r="O4" s="415">
        <f>M4</f>
        <v>0.1</v>
      </c>
    </row>
    <row r="5" spans="1:21" x14ac:dyDescent="0.3">
      <c r="B5" t="s">
        <v>26</v>
      </c>
      <c r="H5" t="s">
        <v>52</v>
      </c>
      <c r="I5" t="s">
        <v>53</v>
      </c>
      <c r="J5" t="s">
        <v>45</v>
      </c>
      <c r="L5" t="s">
        <v>48</v>
      </c>
      <c r="O5" s="415">
        <v>0.7</v>
      </c>
      <c r="P5" t="s">
        <v>750</v>
      </c>
    </row>
    <row r="6" spans="1:21" x14ac:dyDescent="0.3">
      <c r="B6" t="s">
        <v>27</v>
      </c>
      <c r="H6" t="s">
        <v>54</v>
      </c>
      <c r="I6" t="s">
        <v>55</v>
      </c>
      <c r="J6" t="s">
        <v>45</v>
      </c>
      <c r="L6" t="s">
        <v>48</v>
      </c>
      <c r="O6" s="415">
        <v>0.7</v>
      </c>
      <c r="P6" t="s">
        <v>750</v>
      </c>
    </row>
    <row r="7" spans="1:21" x14ac:dyDescent="0.3">
      <c r="B7" t="s">
        <v>6</v>
      </c>
      <c r="C7" t="s">
        <v>19</v>
      </c>
      <c r="D7" t="s">
        <v>21</v>
      </c>
      <c r="E7" t="s">
        <v>19</v>
      </c>
      <c r="H7" t="s">
        <v>56</v>
      </c>
      <c r="I7" t="s">
        <v>57</v>
      </c>
      <c r="J7" t="s">
        <v>45</v>
      </c>
      <c r="L7" t="s">
        <v>48</v>
      </c>
      <c r="O7" s="415">
        <v>0.7</v>
      </c>
      <c r="P7" t="s">
        <v>750</v>
      </c>
    </row>
    <row r="8" spans="1:21" x14ac:dyDescent="0.3">
      <c r="B8" t="s">
        <v>28</v>
      </c>
      <c r="H8" t="s">
        <v>58</v>
      </c>
      <c r="I8" t="s">
        <v>59</v>
      </c>
      <c r="J8" t="s">
        <v>45</v>
      </c>
      <c r="L8" t="s">
        <v>48</v>
      </c>
      <c r="O8" s="415">
        <v>0.7</v>
      </c>
      <c r="P8" t="s">
        <v>750</v>
      </c>
    </row>
    <row r="9" spans="1:21" x14ac:dyDescent="0.3">
      <c r="A9" t="s">
        <v>23</v>
      </c>
      <c r="B9" t="s">
        <v>24</v>
      </c>
      <c r="C9" t="s">
        <v>19</v>
      </c>
      <c r="D9" t="s">
        <v>19</v>
      </c>
      <c r="E9" t="s">
        <v>19</v>
      </c>
      <c r="F9" t="s">
        <v>19</v>
      </c>
      <c r="H9" t="s">
        <v>60</v>
      </c>
      <c r="I9" t="s">
        <v>61</v>
      </c>
      <c r="J9" t="s">
        <v>45</v>
      </c>
      <c r="L9" t="s">
        <v>48</v>
      </c>
      <c r="O9" s="415">
        <v>0.7</v>
      </c>
      <c r="P9" t="s">
        <v>750</v>
      </c>
    </row>
    <row r="10" spans="1:21" x14ac:dyDescent="0.3">
      <c r="B10" t="s">
        <v>25</v>
      </c>
      <c r="H10" t="s">
        <v>62</v>
      </c>
      <c r="I10" t="s">
        <v>63</v>
      </c>
      <c r="J10" t="s">
        <v>45</v>
      </c>
      <c r="L10" t="s">
        <v>48</v>
      </c>
      <c r="O10" s="415">
        <v>0.7</v>
      </c>
      <c r="P10" t="s">
        <v>750</v>
      </c>
    </row>
    <row r="11" spans="1:21" x14ac:dyDescent="0.3">
      <c r="B11" t="s">
        <v>29</v>
      </c>
      <c r="H11" t="s">
        <v>64</v>
      </c>
      <c r="I11" t="s">
        <v>65</v>
      </c>
      <c r="J11" t="s">
        <v>45</v>
      </c>
      <c r="M11" s="6">
        <f>'Input - Circular Flow'!D12/100</f>
        <v>0.85</v>
      </c>
      <c r="O11" s="415">
        <f>M11</f>
        <v>0.85</v>
      </c>
    </row>
    <row r="12" spans="1:21" x14ac:dyDescent="0.3">
      <c r="B12" t="s">
        <v>30</v>
      </c>
      <c r="H12" t="s">
        <v>66</v>
      </c>
      <c r="I12" t="s">
        <v>67</v>
      </c>
      <c r="J12" t="s">
        <v>45</v>
      </c>
      <c r="M12" s="6">
        <f>'Input - Circular Flow'!D13/100</f>
        <v>0.15</v>
      </c>
      <c r="O12" s="415">
        <f>M12</f>
        <v>0.15</v>
      </c>
    </row>
    <row r="13" spans="1:21" x14ac:dyDescent="0.3">
      <c r="B13" t="s">
        <v>31</v>
      </c>
      <c r="H13" t="s">
        <v>68</v>
      </c>
      <c r="I13" t="s">
        <v>69</v>
      </c>
      <c r="J13" t="s">
        <v>70</v>
      </c>
      <c r="M13" s="6">
        <f>'Input - Circular Flow'!D14</f>
        <v>1</v>
      </c>
      <c r="O13" s="415">
        <f>M13</f>
        <v>1</v>
      </c>
      <c r="T13" t="s">
        <v>752</v>
      </c>
      <c r="U13" s="442">
        <v>1.5</v>
      </c>
    </row>
    <row r="14" spans="1:21" x14ac:dyDescent="0.3">
      <c r="B14" t="s">
        <v>32</v>
      </c>
      <c r="H14" t="s">
        <v>71</v>
      </c>
      <c r="I14" t="s">
        <v>72</v>
      </c>
      <c r="J14" t="s">
        <v>70</v>
      </c>
      <c r="L14" t="s">
        <v>48</v>
      </c>
      <c r="O14" s="415">
        <f>VLOOKUP('Input - Circular Flow'!D15,'CFR - PCI'!T13:U17,2,FALSE)*'CFR - PCI'!O13</f>
        <v>0.75</v>
      </c>
      <c r="T14" t="s">
        <v>753</v>
      </c>
      <c r="U14" s="442">
        <v>1.25</v>
      </c>
    </row>
    <row r="15" spans="1:21" x14ac:dyDescent="0.3">
      <c r="B15" t="s">
        <v>33</v>
      </c>
      <c r="H15" t="s">
        <v>73</v>
      </c>
      <c r="I15" t="s">
        <v>74</v>
      </c>
      <c r="J15" t="s">
        <v>75</v>
      </c>
      <c r="M15" s="6">
        <f>'Input - Circular Flow'!D16</f>
        <v>11</v>
      </c>
      <c r="O15" s="415">
        <f>M15</f>
        <v>11</v>
      </c>
      <c r="T15" t="s">
        <v>754</v>
      </c>
      <c r="U15" s="442">
        <v>1</v>
      </c>
    </row>
    <row r="16" spans="1:21" x14ac:dyDescent="0.3">
      <c r="B16" t="s">
        <v>34</v>
      </c>
      <c r="H16" t="s">
        <v>76</v>
      </c>
      <c r="I16" t="s">
        <v>77</v>
      </c>
      <c r="J16" t="s">
        <v>75</v>
      </c>
      <c r="L16" t="s">
        <v>48</v>
      </c>
      <c r="O16" s="415">
        <f>VLOOKUP('Input - Circular Flow'!D17,'CFR - PCI'!T13:U17,2,FALSE)*'CFR - PCI'!O15</f>
        <v>8.25</v>
      </c>
      <c r="T16" t="s">
        <v>755</v>
      </c>
      <c r="U16" s="442">
        <v>0.75</v>
      </c>
    </row>
    <row r="17" spans="2:21" x14ac:dyDescent="0.3">
      <c r="B17" t="s">
        <v>35</v>
      </c>
      <c r="H17" t="s">
        <v>78</v>
      </c>
      <c r="I17" t="s">
        <v>79</v>
      </c>
      <c r="J17" t="s">
        <v>80</v>
      </c>
      <c r="M17" s="6">
        <f>'Input - Circular Flow'!D18</f>
        <v>0.9</v>
      </c>
      <c r="O17" s="415">
        <f>M17</f>
        <v>0.9</v>
      </c>
      <c r="T17" t="s">
        <v>756</v>
      </c>
      <c r="U17" s="442">
        <v>0.5</v>
      </c>
    </row>
    <row r="18" spans="2:21" x14ac:dyDescent="0.3">
      <c r="B18" t="s">
        <v>36</v>
      </c>
      <c r="H18" t="s">
        <v>81</v>
      </c>
      <c r="I18" t="s">
        <v>82</v>
      </c>
      <c r="J18" t="s">
        <v>80</v>
      </c>
      <c r="M18" s="6">
        <f>'Input - Circular Flow'!D19</f>
        <v>0.6</v>
      </c>
      <c r="O18" s="415">
        <f>M18</f>
        <v>0.6</v>
      </c>
    </row>
    <row r="19" spans="2:21" x14ac:dyDescent="0.3">
      <c r="B19" t="s">
        <v>10</v>
      </c>
      <c r="C19" t="s">
        <v>19</v>
      </c>
      <c r="D19" t="s">
        <v>19</v>
      </c>
      <c r="E19" t="s">
        <v>19</v>
      </c>
      <c r="F19" t="s">
        <v>19</v>
      </c>
      <c r="H19" t="s">
        <v>83</v>
      </c>
      <c r="I19" t="s">
        <v>84</v>
      </c>
      <c r="J19" t="s">
        <v>85</v>
      </c>
      <c r="K19" t="s">
        <v>48</v>
      </c>
      <c r="L19" t="s">
        <v>86</v>
      </c>
      <c r="O19" s="415">
        <f>O13*O15</f>
        <v>11</v>
      </c>
    </row>
    <row r="20" spans="2:21" x14ac:dyDescent="0.3">
      <c r="B20" t="s">
        <v>37</v>
      </c>
      <c r="H20" t="s">
        <v>87</v>
      </c>
      <c r="I20" t="s">
        <v>88</v>
      </c>
      <c r="J20" t="s">
        <v>85</v>
      </c>
      <c r="K20" t="s">
        <v>48</v>
      </c>
      <c r="L20" t="s">
        <v>86</v>
      </c>
      <c r="O20" s="415">
        <f>O14*O16</f>
        <v>6.1875</v>
      </c>
    </row>
    <row r="21" spans="2:21" x14ac:dyDescent="0.3">
      <c r="B21" t="s">
        <v>9</v>
      </c>
      <c r="C21" t="s">
        <v>19</v>
      </c>
      <c r="D21" t="s">
        <v>19</v>
      </c>
      <c r="E21" t="s">
        <v>19</v>
      </c>
      <c r="F21" t="s">
        <v>19</v>
      </c>
      <c r="H21" t="s">
        <v>89</v>
      </c>
      <c r="I21" t="s">
        <v>90</v>
      </c>
      <c r="J21" t="s">
        <v>51</v>
      </c>
      <c r="K21" t="s">
        <v>48</v>
      </c>
      <c r="L21" t="s">
        <v>86</v>
      </c>
    </row>
    <row r="22" spans="2:21" x14ac:dyDescent="0.3">
      <c r="B22" t="s">
        <v>37</v>
      </c>
      <c r="H22" t="s">
        <v>91</v>
      </c>
      <c r="I22" t="s">
        <v>92</v>
      </c>
      <c r="J22" t="s">
        <v>51</v>
      </c>
      <c r="K22" t="s">
        <v>48</v>
      </c>
      <c r="L22" t="s">
        <v>86</v>
      </c>
    </row>
    <row r="23" spans="2:21" x14ac:dyDescent="0.3">
      <c r="H23" t="s">
        <v>93</v>
      </c>
      <c r="I23" t="s">
        <v>94</v>
      </c>
      <c r="J23" t="s">
        <v>51</v>
      </c>
      <c r="K23" t="s">
        <v>48</v>
      </c>
      <c r="L23" t="s">
        <v>86</v>
      </c>
    </row>
    <row r="24" spans="2:21" x14ac:dyDescent="0.3">
      <c r="H24" t="s">
        <v>95</v>
      </c>
      <c r="I24" t="s">
        <v>96</v>
      </c>
      <c r="J24" t="s">
        <v>51</v>
      </c>
      <c r="K24" t="s">
        <v>48</v>
      </c>
      <c r="L24" t="s">
        <v>86</v>
      </c>
    </row>
    <row r="25" spans="2:21" x14ac:dyDescent="0.3">
      <c r="H25" t="s">
        <v>97</v>
      </c>
      <c r="I25" t="s">
        <v>98</v>
      </c>
      <c r="J25" t="s">
        <v>51</v>
      </c>
      <c r="K25" t="s">
        <v>48</v>
      </c>
      <c r="L25" t="s">
        <v>86</v>
      </c>
    </row>
    <row r="26" spans="2:21" x14ac:dyDescent="0.3">
      <c r="H26" t="s">
        <v>99</v>
      </c>
      <c r="I26" t="s">
        <v>100</v>
      </c>
      <c r="J26" t="s">
        <v>51</v>
      </c>
      <c r="K26" t="s">
        <v>48</v>
      </c>
      <c r="L26" t="s">
        <v>86</v>
      </c>
    </row>
    <row r="27" spans="2:21" x14ac:dyDescent="0.3">
      <c r="H27" t="s">
        <v>101</v>
      </c>
      <c r="I27" t="s">
        <v>102</v>
      </c>
      <c r="J27" t="s">
        <v>51</v>
      </c>
      <c r="K27" t="s">
        <v>48</v>
      </c>
      <c r="L27" t="s">
        <v>86</v>
      </c>
    </row>
    <row r="28" spans="2:21" x14ac:dyDescent="0.3">
      <c r="H28" t="s">
        <v>91</v>
      </c>
      <c r="I28" t="s">
        <v>103</v>
      </c>
      <c r="J28" t="s">
        <v>51</v>
      </c>
      <c r="K28" t="s">
        <v>48</v>
      </c>
      <c r="L28" t="s">
        <v>86</v>
      </c>
    </row>
    <row r="29" spans="2:21" x14ac:dyDescent="0.3">
      <c r="H29" t="s">
        <v>104</v>
      </c>
      <c r="I29" t="s">
        <v>105</v>
      </c>
      <c r="J29" t="s">
        <v>51</v>
      </c>
      <c r="K29" t="s">
        <v>48</v>
      </c>
      <c r="L29" t="s">
        <v>86</v>
      </c>
    </row>
    <row r="30" spans="2:21" x14ac:dyDescent="0.3">
      <c r="H30" t="s">
        <v>106</v>
      </c>
      <c r="I30" t="s">
        <v>107</v>
      </c>
      <c r="J30" t="s">
        <v>51</v>
      </c>
      <c r="K30" t="s">
        <v>48</v>
      </c>
      <c r="L30" t="s">
        <v>86</v>
      </c>
    </row>
    <row r="31" spans="2:21" x14ac:dyDescent="0.3">
      <c r="H31" t="s">
        <v>108</v>
      </c>
      <c r="I31" t="s">
        <v>109</v>
      </c>
      <c r="J31" t="s">
        <v>51</v>
      </c>
      <c r="K31" t="s">
        <v>48</v>
      </c>
      <c r="L31" t="s">
        <v>86</v>
      </c>
    </row>
    <row r="32" spans="2:21" x14ac:dyDescent="0.3">
      <c r="H32" t="s">
        <v>110</v>
      </c>
      <c r="I32" t="s">
        <v>111</v>
      </c>
      <c r="J32" t="s">
        <v>51</v>
      </c>
      <c r="K32" t="s">
        <v>48</v>
      </c>
      <c r="L32" t="s">
        <v>86</v>
      </c>
    </row>
    <row r="33" spans="8:12" x14ac:dyDescent="0.3">
      <c r="H33" t="s">
        <v>112</v>
      </c>
      <c r="I33" t="s">
        <v>113</v>
      </c>
      <c r="J33" t="s">
        <v>51</v>
      </c>
      <c r="K33" t="s">
        <v>48</v>
      </c>
      <c r="L33" t="s">
        <v>86</v>
      </c>
    </row>
    <row r="34" spans="8:12" x14ac:dyDescent="0.3">
      <c r="H34" t="s">
        <v>114</v>
      </c>
      <c r="I34" t="s">
        <v>115</v>
      </c>
      <c r="J34" t="s">
        <v>51</v>
      </c>
      <c r="K34" t="s">
        <v>48</v>
      </c>
      <c r="L34" t="s">
        <v>86</v>
      </c>
    </row>
    <row r="35" spans="8:12" x14ac:dyDescent="0.3">
      <c r="H35" t="s">
        <v>116</v>
      </c>
      <c r="I35" t="s">
        <v>123</v>
      </c>
      <c r="J35" t="s">
        <v>51</v>
      </c>
      <c r="K35" t="s">
        <v>48</v>
      </c>
      <c r="L35" t="s">
        <v>86</v>
      </c>
    </row>
    <row r="36" spans="8:12" x14ac:dyDescent="0.3">
      <c r="H36" t="s">
        <v>117</v>
      </c>
      <c r="I36" t="s">
        <v>124</v>
      </c>
      <c r="J36" t="s">
        <v>51</v>
      </c>
      <c r="K36" t="s">
        <v>48</v>
      </c>
      <c r="L36" t="s">
        <v>86</v>
      </c>
    </row>
    <row r="37" spans="8:12" x14ac:dyDescent="0.3">
      <c r="H37" t="s">
        <v>118</v>
      </c>
      <c r="I37" t="s">
        <v>119</v>
      </c>
      <c r="J37" t="s">
        <v>51</v>
      </c>
      <c r="K37" t="s">
        <v>48</v>
      </c>
      <c r="L37" t="s">
        <v>86</v>
      </c>
    </row>
    <row r="38" spans="8:12" x14ac:dyDescent="0.3">
      <c r="H38" t="s">
        <v>120</v>
      </c>
      <c r="I38" t="s">
        <v>119</v>
      </c>
      <c r="J38" t="s">
        <v>51</v>
      </c>
      <c r="K38" t="s">
        <v>48</v>
      </c>
      <c r="L38" t="s">
        <v>86</v>
      </c>
    </row>
    <row r="39" spans="8:12" x14ac:dyDescent="0.3">
      <c r="H39" t="s">
        <v>121</v>
      </c>
      <c r="I39" t="s">
        <v>122</v>
      </c>
      <c r="J39" t="s">
        <v>21</v>
      </c>
      <c r="K39" t="s">
        <v>48</v>
      </c>
      <c r="L39" t="s">
        <v>86</v>
      </c>
    </row>
    <row r="42" spans="8:12" x14ac:dyDescent="0.3">
      <c r="J42" t="s">
        <v>694</v>
      </c>
    </row>
    <row r="43" spans="8:12" x14ac:dyDescent="0.3">
      <c r="H43" t="s">
        <v>89</v>
      </c>
      <c r="I43" t="s">
        <v>90</v>
      </c>
      <c r="J43">
        <f>(((1-O2)*O4)/(O5*O6))*(1-O3)</f>
        <v>1.0204081632653071E-2</v>
      </c>
    </row>
    <row r="44" spans="8:12" x14ac:dyDescent="0.3">
      <c r="H44" t="s">
        <v>91</v>
      </c>
      <c r="I44" t="s">
        <v>92</v>
      </c>
      <c r="J44">
        <f>(((1-O2)*O4)/(O6*O5))*(1-O6)*(1-O10)</f>
        <v>9.1836734693877666E-4</v>
      </c>
    </row>
    <row r="45" spans="8:12" x14ac:dyDescent="0.3">
      <c r="H45" t="s">
        <v>93</v>
      </c>
      <c r="I45" t="s">
        <v>94</v>
      </c>
      <c r="J45">
        <f>(((1-O2)*O4)/(O4))*O6*(1-O5)*(1-O9)</f>
        <v>3.1500000000000039E-3</v>
      </c>
    </row>
    <row r="46" spans="8:12" x14ac:dyDescent="0.3">
      <c r="H46" t="s">
        <v>95</v>
      </c>
      <c r="I46" t="s">
        <v>96</v>
      </c>
      <c r="J46">
        <f>O4*(1-O12-O11)</f>
        <v>0</v>
      </c>
    </row>
    <row r="47" spans="8:12" x14ac:dyDescent="0.3">
      <c r="H47" t="s">
        <v>97</v>
      </c>
      <c r="I47" t="s">
        <v>98</v>
      </c>
      <c r="J47">
        <f>O4*(1-O8)*O12</f>
        <v>4.5000000000000005E-3</v>
      </c>
    </row>
    <row r="48" spans="8:12" x14ac:dyDescent="0.3">
      <c r="H48" t="s">
        <v>99</v>
      </c>
      <c r="I48" t="s">
        <v>100</v>
      </c>
      <c r="J48">
        <f>O3*O8*O12*(1-O7)</f>
        <v>0</v>
      </c>
    </row>
    <row r="49" spans="8:11" x14ac:dyDescent="0.3">
      <c r="H49" t="s">
        <v>101</v>
      </c>
      <c r="I49" t="s">
        <v>102</v>
      </c>
      <c r="J49">
        <f>J44+J45+J46+J47+J48</f>
        <v>8.5683673469387801E-3</v>
      </c>
    </row>
    <row r="50" spans="8:11" x14ac:dyDescent="0.3">
      <c r="H50" t="s">
        <v>108</v>
      </c>
      <c r="I50" t="s">
        <v>109</v>
      </c>
      <c r="J50">
        <f>O3*(((1-O2)*O4)/(O6*O5))</f>
        <v>0</v>
      </c>
    </row>
    <row r="51" spans="8:11" x14ac:dyDescent="0.3">
      <c r="H51" t="s">
        <v>110</v>
      </c>
      <c r="I51" t="s">
        <v>111</v>
      </c>
      <c r="J51">
        <f>(((1-O6)*O10)*(((1-O2)*O4)/(O6*O5)))+((1-O5)*(O9*(O4/O5)))+(O7*O8*O12*O4)</f>
        <v>3.9492857142857149E-2</v>
      </c>
    </row>
    <row r="52" spans="8:11" x14ac:dyDescent="0.3">
      <c r="H52" t="s">
        <v>112</v>
      </c>
      <c r="I52" t="s">
        <v>113</v>
      </c>
      <c r="J52">
        <f>ABS(J50-J51)</f>
        <v>3.9492857142857149E-2</v>
      </c>
    </row>
    <row r="53" spans="8:11" x14ac:dyDescent="0.3">
      <c r="H53" t="s">
        <v>114</v>
      </c>
      <c r="I53" t="s">
        <v>115</v>
      </c>
      <c r="J53">
        <f>ABS(O4*(O2-O11))</f>
        <v>9.9999999999999985E-3</v>
      </c>
    </row>
    <row r="54" spans="8:11" x14ac:dyDescent="0.3">
      <c r="I54" t="s">
        <v>123</v>
      </c>
      <c r="J54">
        <f>O4/(O5*O6)</f>
        <v>0.20408163265306126</v>
      </c>
      <c r="K54">
        <v>1</v>
      </c>
    </row>
    <row r="55" spans="8:11" x14ac:dyDescent="0.3">
      <c r="I55" t="s">
        <v>124</v>
      </c>
      <c r="J55">
        <f>J54</f>
        <v>0.20408163265306126</v>
      </c>
      <c r="K55">
        <v>1</v>
      </c>
    </row>
    <row r="56" spans="8:11" x14ac:dyDescent="0.3">
      <c r="H56" t="s">
        <v>118</v>
      </c>
      <c r="I56" t="s">
        <v>119</v>
      </c>
      <c r="J56">
        <f>(J43+J49+(0.5*ABS(J52))+(0.5*ABS(J53)))/(K54+K55)</f>
        <v>2.1759438775510211E-2</v>
      </c>
    </row>
    <row r="57" spans="8:11" x14ac:dyDescent="0.3">
      <c r="H57" t="s">
        <v>121</v>
      </c>
      <c r="I57" t="s">
        <v>122</v>
      </c>
      <c r="J57">
        <f>(O13/O14)*(O15/O16)</f>
        <v>1.7777777777777777</v>
      </c>
    </row>
    <row r="58" spans="8:11" x14ac:dyDescent="0.3">
      <c r="H58" t="s">
        <v>695</v>
      </c>
      <c r="I58" t="s">
        <v>122</v>
      </c>
      <c r="J58">
        <f>O19/O20</f>
        <v>1.7777777777777777</v>
      </c>
    </row>
    <row r="59" spans="8:11" x14ac:dyDescent="0.3">
      <c r="H59" t="s">
        <v>696</v>
      </c>
      <c r="J59" s="11">
        <f>1-(J56/J57)</f>
        <v>0.98776031568877554</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241B9-CDE2-49D8-9E58-98FABDA64F09}">
  <dimension ref="A1:AA38"/>
  <sheetViews>
    <sheetView topLeftCell="I1" workbookViewId="0">
      <selection activeCell="O3" sqref="O3"/>
    </sheetView>
  </sheetViews>
  <sheetFormatPr defaultColWidth="8.77734375" defaultRowHeight="14.4" x14ac:dyDescent="0.3"/>
  <cols>
    <col min="1" max="1" width="17.6640625" customWidth="1"/>
    <col min="2" max="10" width="12.77734375" customWidth="1"/>
    <col min="12" max="12" width="27.44140625" style="408" bestFit="1" customWidth="1"/>
    <col min="13" max="13" width="5.44140625" style="408" bestFit="1" customWidth="1"/>
    <col min="14" max="14" width="20.77734375" style="408" customWidth="1"/>
    <col min="15" max="15" width="8.77734375" style="408"/>
  </cols>
  <sheetData>
    <row r="1" spans="1:27" x14ac:dyDescent="0.3">
      <c r="B1" t="s">
        <v>744</v>
      </c>
      <c r="C1" t="s">
        <v>744</v>
      </c>
      <c r="D1" t="s">
        <v>744</v>
      </c>
      <c r="E1" t="s">
        <v>602</v>
      </c>
      <c r="F1" t="s">
        <v>602</v>
      </c>
      <c r="G1" t="s">
        <v>602</v>
      </c>
      <c r="H1" t="s">
        <v>745</v>
      </c>
      <c r="I1" t="s">
        <v>745</v>
      </c>
      <c r="J1" t="s">
        <v>745</v>
      </c>
      <c r="M1" s="408" t="s">
        <v>748</v>
      </c>
      <c r="N1" s="408" t="s">
        <v>604</v>
      </c>
      <c r="O1" s="408" t="s">
        <v>604</v>
      </c>
      <c r="P1" s="408" t="s">
        <v>604</v>
      </c>
      <c r="Q1" s="408" t="s">
        <v>604</v>
      </c>
      <c r="R1" s="408" t="s">
        <v>605</v>
      </c>
      <c r="S1" s="408" t="s">
        <v>606</v>
      </c>
      <c r="T1" s="408" t="s">
        <v>607</v>
      </c>
      <c r="U1" s="408" t="s">
        <v>608</v>
      </c>
      <c r="V1" s="408" t="s">
        <v>608</v>
      </c>
      <c r="W1" s="408" t="s">
        <v>608</v>
      </c>
      <c r="X1" s="408"/>
      <c r="Y1" s="408" t="s">
        <v>747</v>
      </c>
      <c r="Z1" s="408"/>
      <c r="AA1" s="408"/>
    </row>
    <row r="2" spans="1:27" ht="33" x14ac:dyDescent="0.3">
      <c r="A2" s="404" t="s">
        <v>13</v>
      </c>
      <c r="B2" s="404" t="s">
        <v>709</v>
      </c>
      <c r="C2" s="404" t="s">
        <v>710</v>
      </c>
      <c r="D2" s="405" t="s">
        <v>711</v>
      </c>
      <c r="E2" s="404" t="s">
        <v>709</v>
      </c>
      <c r="F2" s="404" t="s">
        <v>710</v>
      </c>
      <c r="G2" s="405" t="s">
        <v>711</v>
      </c>
      <c r="H2" s="404" t="s">
        <v>709</v>
      </c>
      <c r="I2" s="404" t="s">
        <v>710</v>
      </c>
      <c r="J2" s="405" t="s">
        <v>711</v>
      </c>
      <c r="L2" s="409" t="s">
        <v>402</v>
      </c>
      <c r="M2" s="409">
        <v>1</v>
      </c>
      <c r="N2" s="410" t="s">
        <v>719</v>
      </c>
      <c r="O2" s="411" t="s">
        <v>719</v>
      </c>
      <c r="P2" s="412" t="s">
        <v>719</v>
      </c>
      <c r="Q2" s="412" t="s">
        <v>719</v>
      </c>
      <c r="R2" s="413" t="s">
        <v>718</v>
      </c>
      <c r="S2" s="412" t="s">
        <v>719</v>
      </c>
      <c r="T2" s="412" t="s">
        <v>719</v>
      </c>
      <c r="U2" s="412" t="s">
        <v>719</v>
      </c>
      <c r="V2" s="412" t="s">
        <v>719</v>
      </c>
      <c r="W2" s="412" t="s">
        <v>719</v>
      </c>
      <c r="X2" s="412"/>
      <c r="Y2" s="412" t="str">
        <f>HLOOKUP('Input - Life Cycle Information'!C14,'PCI Fr values'!L1:W17,(1+(VLOOKUP(DGcalcul!E6,L1:M17,2,FALSE))),FALSE)</f>
        <v>plastic, not otherwise specified</v>
      </c>
      <c r="Z2" s="412"/>
      <c r="AA2" s="408"/>
    </row>
    <row r="3" spans="1:27" ht="39.6" x14ac:dyDescent="0.3">
      <c r="A3" s="406" t="s">
        <v>712</v>
      </c>
      <c r="B3" s="407">
        <v>0.1</v>
      </c>
      <c r="C3" s="407">
        <v>0.2</v>
      </c>
      <c r="D3" s="407">
        <v>0</v>
      </c>
      <c r="E3" s="407">
        <v>0.17</v>
      </c>
      <c r="F3" s="407">
        <v>0.57999999999999996</v>
      </c>
      <c r="G3" s="407">
        <v>0</v>
      </c>
      <c r="H3" s="407">
        <v>0.06</v>
      </c>
      <c r="I3" s="407">
        <v>0.28999999999999998</v>
      </c>
      <c r="J3" s="407">
        <v>0</v>
      </c>
      <c r="L3" s="409" t="s">
        <v>403</v>
      </c>
      <c r="M3" s="409">
        <v>2</v>
      </c>
      <c r="N3" s="406" t="s">
        <v>722</v>
      </c>
      <c r="O3" s="406" t="s">
        <v>722</v>
      </c>
      <c r="P3" s="406" t="s">
        <v>722</v>
      </c>
      <c r="Q3" s="406" t="s">
        <v>722</v>
      </c>
      <c r="R3" s="406" t="s">
        <v>722</v>
      </c>
      <c r="S3" s="406" t="s">
        <v>722</v>
      </c>
      <c r="T3" s="406" t="s">
        <v>722</v>
      </c>
      <c r="U3" s="406" t="s">
        <v>722</v>
      </c>
      <c r="V3" s="406" t="s">
        <v>722</v>
      </c>
      <c r="W3" s="406" t="s">
        <v>722</v>
      </c>
      <c r="X3" s="414"/>
      <c r="Y3" s="414"/>
      <c r="Z3" s="414"/>
      <c r="AA3" s="408"/>
    </row>
    <row r="4" spans="1:27" ht="26.4" x14ac:dyDescent="0.3">
      <c r="A4" s="406" t="s">
        <v>713</v>
      </c>
      <c r="B4" s="407">
        <v>0.1</v>
      </c>
      <c r="C4" s="407">
        <v>0.1</v>
      </c>
      <c r="D4" s="407">
        <v>0</v>
      </c>
      <c r="E4" s="407">
        <v>0.55000000000000004</v>
      </c>
      <c r="F4" s="407">
        <v>0.38</v>
      </c>
      <c r="G4" s="407">
        <v>0</v>
      </c>
      <c r="H4" s="407">
        <v>0.05</v>
      </c>
      <c r="I4" s="407">
        <v>7.0000000000000007E-2</v>
      </c>
      <c r="J4" s="407">
        <v>0</v>
      </c>
      <c r="L4" s="409" t="s">
        <v>404</v>
      </c>
      <c r="M4" s="409">
        <v>3</v>
      </c>
      <c r="N4" s="409" t="s">
        <v>721</v>
      </c>
      <c r="O4" s="409" t="s">
        <v>721</v>
      </c>
      <c r="P4" s="409" t="s">
        <v>721</v>
      </c>
      <c r="Q4" s="409" t="s">
        <v>721</v>
      </c>
      <c r="R4" s="409" t="s">
        <v>721</v>
      </c>
      <c r="S4" s="409" t="s">
        <v>721</v>
      </c>
      <c r="T4" s="409" t="s">
        <v>721</v>
      </c>
      <c r="U4" s="409" t="s">
        <v>721</v>
      </c>
      <c r="V4" s="409" t="s">
        <v>721</v>
      </c>
      <c r="W4" s="409" t="s">
        <v>721</v>
      </c>
      <c r="X4" s="409"/>
      <c r="Y4" t="s">
        <v>602</v>
      </c>
      <c r="Z4" t="s">
        <v>602</v>
      </c>
      <c r="AA4" t="s">
        <v>602</v>
      </c>
    </row>
    <row r="5" spans="1:27" ht="39.6" x14ac:dyDescent="0.3">
      <c r="A5" s="406" t="s">
        <v>714</v>
      </c>
      <c r="B5" s="407">
        <v>0.1</v>
      </c>
      <c r="C5" s="407">
        <v>0</v>
      </c>
      <c r="D5" s="407">
        <v>0</v>
      </c>
      <c r="E5" s="407">
        <v>0.28000000000000003</v>
      </c>
      <c r="F5" s="407">
        <v>0.42</v>
      </c>
      <c r="G5" s="407">
        <v>0</v>
      </c>
      <c r="H5" s="407">
        <v>0</v>
      </c>
      <c r="I5" s="407">
        <v>7.0000000000000007E-2</v>
      </c>
      <c r="J5" s="407">
        <v>0</v>
      </c>
      <c r="L5" s="409" t="s">
        <v>196</v>
      </c>
      <c r="M5" s="409">
        <v>4</v>
      </c>
      <c r="N5" s="409" t="s">
        <v>713</v>
      </c>
      <c r="O5" s="409" t="s">
        <v>713</v>
      </c>
      <c r="P5" s="409" t="s">
        <v>713</v>
      </c>
      <c r="Q5" s="409" t="s">
        <v>713</v>
      </c>
      <c r="R5" s="406" t="s">
        <v>712</v>
      </c>
      <c r="S5" s="409" t="s">
        <v>713</v>
      </c>
      <c r="T5" s="409" t="s">
        <v>713</v>
      </c>
      <c r="U5" s="409" t="s">
        <v>713</v>
      </c>
      <c r="V5" s="409" t="s">
        <v>713</v>
      </c>
      <c r="W5" s="409" t="s">
        <v>713</v>
      </c>
      <c r="Y5" s="404" t="s">
        <v>709</v>
      </c>
      <c r="Z5" s="404" t="s">
        <v>710</v>
      </c>
      <c r="AA5" s="405" t="s">
        <v>711</v>
      </c>
    </row>
    <row r="6" spans="1:27" ht="52.8" x14ac:dyDescent="0.3">
      <c r="A6" s="406" t="s">
        <v>715</v>
      </c>
      <c r="B6" s="407">
        <v>0</v>
      </c>
      <c r="C6" s="407">
        <v>0.2</v>
      </c>
      <c r="D6" s="407">
        <v>0</v>
      </c>
      <c r="E6" s="407">
        <v>0</v>
      </c>
      <c r="F6" s="407">
        <v>0.57999999999999996</v>
      </c>
      <c r="G6" s="407">
        <v>0</v>
      </c>
      <c r="H6" s="407">
        <v>0</v>
      </c>
      <c r="I6" s="407">
        <v>0.28999999999999998</v>
      </c>
      <c r="J6" s="407">
        <v>0</v>
      </c>
      <c r="L6" s="409" t="s">
        <v>303</v>
      </c>
      <c r="M6" s="409">
        <v>5</v>
      </c>
      <c r="N6" s="406" t="s">
        <v>724</v>
      </c>
      <c r="O6" s="406" t="s">
        <v>724</v>
      </c>
      <c r="P6" s="406" t="s">
        <v>724</v>
      </c>
      <c r="Q6" s="406" t="s">
        <v>724</v>
      </c>
      <c r="R6" s="406" t="s">
        <v>724</v>
      </c>
      <c r="S6" s="406" t="s">
        <v>724</v>
      </c>
      <c r="T6" s="406" t="s">
        <v>724</v>
      </c>
      <c r="U6" s="406" t="s">
        <v>724</v>
      </c>
      <c r="V6" s="406" t="s">
        <v>724</v>
      </c>
      <c r="W6" s="406" t="s">
        <v>724</v>
      </c>
      <c r="Y6">
        <f>VLOOKUP(Y2,A3:J34,5,FALSE)</f>
        <v>0</v>
      </c>
      <c r="Z6">
        <f>VLOOKUP(Y2,A3:J34,6,FALSE)</f>
        <v>0.42</v>
      </c>
      <c r="AA6" s="408">
        <f>VLOOKUP(Y2,A3:J34,7,FALSE)</f>
        <v>0</v>
      </c>
    </row>
    <row r="7" spans="1:27" ht="52.8" x14ac:dyDescent="0.3">
      <c r="A7" s="406" t="s">
        <v>716</v>
      </c>
      <c r="B7" s="407">
        <v>0</v>
      </c>
      <c r="C7" s="407">
        <v>0.1</v>
      </c>
      <c r="D7" s="407">
        <v>0</v>
      </c>
      <c r="E7" s="407">
        <v>0</v>
      </c>
      <c r="F7" s="407">
        <v>0.38</v>
      </c>
      <c r="G7" s="407">
        <v>0</v>
      </c>
      <c r="H7" s="407">
        <v>0</v>
      </c>
      <c r="I7" s="407">
        <v>7.0000000000000007E-2</v>
      </c>
      <c r="J7" s="407">
        <v>0</v>
      </c>
      <c r="L7" s="409" t="s">
        <v>302</v>
      </c>
      <c r="M7" s="409">
        <v>6</v>
      </c>
      <c r="N7" s="406" t="s">
        <v>724</v>
      </c>
      <c r="O7" s="406" t="s">
        <v>724</v>
      </c>
      <c r="P7" s="406" t="s">
        <v>724</v>
      </c>
      <c r="Q7" s="406" t="s">
        <v>724</v>
      </c>
      <c r="R7" s="406" t="s">
        <v>724</v>
      </c>
      <c r="S7" s="406" t="s">
        <v>724</v>
      </c>
      <c r="T7" s="406" t="s">
        <v>724</v>
      </c>
      <c r="U7" s="406" t="s">
        <v>724</v>
      </c>
      <c r="V7" s="406" t="s">
        <v>724</v>
      </c>
      <c r="W7" s="406" t="s">
        <v>724</v>
      </c>
      <c r="AA7" s="408"/>
    </row>
    <row r="8" spans="1:27" ht="52.8" x14ac:dyDescent="0.3">
      <c r="A8" s="406" t="s">
        <v>717</v>
      </c>
      <c r="B8" s="407">
        <v>0</v>
      </c>
      <c r="C8" s="407">
        <v>0</v>
      </c>
      <c r="D8" s="407">
        <v>0</v>
      </c>
      <c r="E8" s="407">
        <v>0</v>
      </c>
      <c r="F8" s="407">
        <v>0.42</v>
      </c>
      <c r="G8" s="407">
        <v>0</v>
      </c>
      <c r="H8" s="407">
        <v>0</v>
      </c>
      <c r="I8" s="407">
        <v>7.0000000000000007E-2</v>
      </c>
      <c r="J8" s="407">
        <v>0</v>
      </c>
      <c r="L8" s="409" t="s">
        <v>406</v>
      </c>
      <c r="M8" s="409">
        <v>7</v>
      </c>
      <c r="N8" s="406" t="s">
        <v>724</v>
      </c>
      <c r="O8" s="406" t="s">
        <v>724</v>
      </c>
      <c r="P8" s="406" t="s">
        <v>724</v>
      </c>
      <c r="Q8" s="406" t="s">
        <v>724</v>
      </c>
      <c r="R8" s="406" t="s">
        <v>724</v>
      </c>
      <c r="S8" s="406" t="s">
        <v>724</v>
      </c>
      <c r="T8" s="406" t="s">
        <v>724</v>
      </c>
      <c r="U8" s="406" t="s">
        <v>724</v>
      </c>
      <c r="V8" s="406" t="s">
        <v>724</v>
      </c>
      <c r="W8" s="406" t="s">
        <v>724</v>
      </c>
    </row>
    <row r="9" spans="1:27" ht="66" x14ac:dyDescent="0.3">
      <c r="A9" s="406" t="s">
        <v>718</v>
      </c>
      <c r="B9" s="407">
        <v>0.05</v>
      </c>
      <c r="C9" s="407">
        <v>0.2</v>
      </c>
      <c r="D9" s="407">
        <v>0</v>
      </c>
      <c r="E9" s="407">
        <v>0</v>
      </c>
      <c r="F9" s="407">
        <v>0.57999999999999996</v>
      </c>
      <c r="G9" s="407">
        <v>0</v>
      </c>
      <c r="H9" s="407">
        <v>0</v>
      </c>
      <c r="I9" s="407">
        <v>0.31</v>
      </c>
      <c r="J9" s="407">
        <v>0</v>
      </c>
      <c r="L9" s="409" t="s">
        <v>407</v>
      </c>
      <c r="M9" s="409">
        <v>8</v>
      </c>
      <c r="N9" s="406" t="s">
        <v>742</v>
      </c>
      <c r="O9" s="406" t="s">
        <v>742</v>
      </c>
      <c r="P9" s="406" t="s">
        <v>742</v>
      </c>
      <c r="Q9" s="406" t="s">
        <v>742</v>
      </c>
      <c r="R9" s="406" t="s">
        <v>741</v>
      </c>
      <c r="S9" s="406" t="s">
        <v>742</v>
      </c>
      <c r="T9" s="406" t="s">
        <v>742</v>
      </c>
      <c r="U9" s="406" t="s">
        <v>742</v>
      </c>
      <c r="V9" s="406" t="s">
        <v>742</v>
      </c>
      <c r="W9" s="406" t="s">
        <v>742</v>
      </c>
    </row>
    <row r="10" spans="1:27" ht="26.4" x14ac:dyDescent="0.3">
      <c r="A10" s="406" t="s">
        <v>719</v>
      </c>
      <c r="B10" s="407">
        <v>0.05</v>
      </c>
      <c r="C10" s="407">
        <v>0.1</v>
      </c>
      <c r="D10" s="407">
        <v>0</v>
      </c>
      <c r="E10" s="407">
        <v>0</v>
      </c>
      <c r="F10" s="407">
        <v>0.24</v>
      </c>
      <c r="G10" s="407">
        <v>0</v>
      </c>
      <c r="H10" s="407">
        <v>0</v>
      </c>
      <c r="I10" s="407">
        <v>0.18</v>
      </c>
      <c r="J10" s="407">
        <v>0</v>
      </c>
      <c r="L10" s="409" t="s">
        <v>408</v>
      </c>
      <c r="M10" s="409">
        <v>9</v>
      </c>
      <c r="N10" s="409" t="s">
        <v>725</v>
      </c>
      <c r="O10" s="409" t="s">
        <v>725</v>
      </c>
      <c r="P10" s="409" t="s">
        <v>725</v>
      </c>
      <c r="Q10" s="409" t="s">
        <v>725</v>
      </c>
      <c r="R10" s="409" t="s">
        <v>725</v>
      </c>
      <c r="S10" s="409" t="s">
        <v>725</v>
      </c>
      <c r="T10" s="409" t="s">
        <v>725</v>
      </c>
      <c r="U10" s="409" t="s">
        <v>725</v>
      </c>
      <c r="V10" s="409" t="s">
        <v>725</v>
      </c>
      <c r="W10" s="409" t="s">
        <v>725</v>
      </c>
    </row>
    <row r="11" spans="1:27" ht="26.4" x14ac:dyDescent="0.3">
      <c r="A11" s="406" t="s">
        <v>720</v>
      </c>
      <c r="B11" s="407">
        <v>0.05</v>
      </c>
      <c r="C11" s="407">
        <v>0</v>
      </c>
      <c r="D11" s="407">
        <v>0</v>
      </c>
      <c r="E11" s="407">
        <v>0</v>
      </c>
      <c r="F11" s="407">
        <v>0.24</v>
      </c>
      <c r="G11" s="407">
        <v>0</v>
      </c>
      <c r="H11" s="407">
        <v>0</v>
      </c>
      <c r="I11" s="407">
        <v>0</v>
      </c>
      <c r="J11" s="407">
        <v>0</v>
      </c>
      <c r="L11" s="409" t="s">
        <v>409</v>
      </c>
      <c r="M11" s="409">
        <v>10</v>
      </c>
      <c r="N11" s="409" t="s">
        <v>725</v>
      </c>
      <c r="O11" s="409" t="s">
        <v>725</v>
      </c>
      <c r="P11" s="409" t="s">
        <v>725</v>
      </c>
      <c r="Q11" s="409" t="s">
        <v>725</v>
      </c>
      <c r="R11" s="409" t="s">
        <v>725</v>
      </c>
      <c r="S11" s="409" t="s">
        <v>725</v>
      </c>
      <c r="T11" s="409" t="s">
        <v>725</v>
      </c>
      <c r="U11" s="409" t="s">
        <v>725</v>
      </c>
      <c r="V11" s="409" t="s">
        <v>725</v>
      </c>
      <c r="W11" s="409" t="s">
        <v>725</v>
      </c>
    </row>
    <row r="12" spans="1:27" ht="26.4" x14ac:dyDescent="0.3">
      <c r="A12" s="406" t="s">
        <v>721</v>
      </c>
      <c r="B12" s="407">
        <v>0</v>
      </c>
      <c r="C12" s="407">
        <v>0</v>
      </c>
      <c r="D12" s="407">
        <v>0</v>
      </c>
      <c r="E12" s="407">
        <v>0</v>
      </c>
      <c r="F12" s="407">
        <v>0.24</v>
      </c>
      <c r="G12" s="407">
        <v>0</v>
      </c>
      <c r="H12" s="407">
        <v>0</v>
      </c>
      <c r="I12" s="407">
        <v>0.1</v>
      </c>
      <c r="J12" s="407">
        <v>0</v>
      </c>
      <c r="L12" s="409" t="s">
        <v>410</v>
      </c>
      <c r="M12" s="409">
        <v>11</v>
      </c>
      <c r="N12" s="409" t="s">
        <v>725</v>
      </c>
      <c r="O12" s="409" t="s">
        <v>725</v>
      </c>
      <c r="P12" s="409" t="s">
        <v>725</v>
      </c>
      <c r="Q12" s="409" t="s">
        <v>725</v>
      </c>
      <c r="R12" s="409" t="s">
        <v>725</v>
      </c>
      <c r="S12" s="409" t="s">
        <v>725</v>
      </c>
      <c r="T12" s="409" t="s">
        <v>725</v>
      </c>
      <c r="U12" s="409" t="s">
        <v>725</v>
      </c>
      <c r="V12" s="409" t="s">
        <v>725</v>
      </c>
      <c r="W12" s="409" t="s">
        <v>725</v>
      </c>
    </row>
    <row r="13" spans="1:27" x14ac:dyDescent="0.3">
      <c r="A13" s="406" t="s">
        <v>722</v>
      </c>
      <c r="B13" s="407">
        <v>0</v>
      </c>
      <c r="C13" s="407">
        <v>0.05</v>
      </c>
      <c r="D13" s="407">
        <v>0</v>
      </c>
      <c r="E13" s="407">
        <v>0</v>
      </c>
      <c r="F13" s="407">
        <v>0.54</v>
      </c>
      <c r="G13" s="407">
        <v>0</v>
      </c>
      <c r="H13" s="407">
        <v>0</v>
      </c>
      <c r="I13" s="407">
        <v>0.08</v>
      </c>
      <c r="J13" s="407">
        <v>0</v>
      </c>
      <c r="L13" s="409" t="s">
        <v>411</v>
      </c>
      <c r="M13" s="409">
        <v>12</v>
      </c>
      <c r="N13" s="409" t="s">
        <v>746</v>
      </c>
      <c r="O13" s="409" t="s">
        <v>746</v>
      </c>
      <c r="P13" s="409" t="s">
        <v>746</v>
      </c>
      <c r="Q13" s="409" t="s">
        <v>746</v>
      </c>
      <c r="R13" s="409" t="s">
        <v>746</v>
      </c>
      <c r="S13" s="409" t="s">
        <v>746</v>
      </c>
      <c r="T13" s="409" t="s">
        <v>746</v>
      </c>
      <c r="U13" s="409" t="s">
        <v>746</v>
      </c>
      <c r="V13" s="409" t="s">
        <v>746</v>
      </c>
      <c r="W13" s="409" t="s">
        <v>746</v>
      </c>
    </row>
    <row r="14" spans="1:27" ht="39.6" x14ac:dyDescent="0.3">
      <c r="A14" s="406" t="s">
        <v>723</v>
      </c>
      <c r="B14" s="407">
        <v>0</v>
      </c>
      <c r="C14" s="407">
        <v>0</v>
      </c>
      <c r="D14" s="407">
        <v>0</v>
      </c>
      <c r="E14" s="407">
        <v>0</v>
      </c>
      <c r="F14" s="407">
        <v>0.25</v>
      </c>
      <c r="G14" s="407">
        <v>0</v>
      </c>
      <c r="H14" s="407">
        <v>0</v>
      </c>
      <c r="I14" s="407">
        <v>0</v>
      </c>
      <c r="J14" s="407">
        <v>0</v>
      </c>
      <c r="L14" s="409" t="s">
        <v>412</v>
      </c>
      <c r="M14" s="409">
        <v>13</v>
      </c>
      <c r="N14" s="406" t="s">
        <v>726</v>
      </c>
      <c r="O14" s="406" t="s">
        <v>726</v>
      </c>
      <c r="P14" s="406" t="s">
        <v>726</v>
      </c>
      <c r="Q14" s="406" t="s">
        <v>726</v>
      </c>
      <c r="R14" s="406" t="s">
        <v>726</v>
      </c>
      <c r="S14" s="406" t="s">
        <v>726</v>
      </c>
      <c r="T14" s="406" t="s">
        <v>726</v>
      </c>
      <c r="U14" s="406" t="s">
        <v>726</v>
      </c>
      <c r="V14" s="406" t="s">
        <v>726</v>
      </c>
      <c r="W14" s="406" t="s">
        <v>726</v>
      </c>
    </row>
    <row r="15" spans="1:27" ht="52.8" x14ac:dyDescent="0.3">
      <c r="A15" s="406" t="s">
        <v>724</v>
      </c>
      <c r="B15" s="407">
        <v>0</v>
      </c>
      <c r="C15" s="407">
        <v>0</v>
      </c>
      <c r="D15" s="407">
        <v>0</v>
      </c>
      <c r="E15" s="407">
        <v>0</v>
      </c>
      <c r="F15" s="407">
        <v>0.42</v>
      </c>
      <c r="G15" s="407">
        <v>0</v>
      </c>
      <c r="H15" s="407">
        <v>0</v>
      </c>
      <c r="I15" s="407">
        <v>0</v>
      </c>
      <c r="J15" s="407">
        <v>0</v>
      </c>
      <c r="L15" s="409" t="s">
        <v>413</v>
      </c>
      <c r="M15" s="409">
        <v>14</v>
      </c>
      <c r="N15" s="406" t="s">
        <v>729</v>
      </c>
      <c r="O15" s="406" t="s">
        <v>729</v>
      </c>
      <c r="P15" s="406" t="s">
        <v>729</v>
      </c>
      <c r="Q15" s="406" t="s">
        <v>729</v>
      </c>
      <c r="R15" s="406" t="s">
        <v>728</v>
      </c>
      <c r="S15" s="406" t="s">
        <v>729</v>
      </c>
      <c r="T15" s="406" t="s">
        <v>729</v>
      </c>
      <c r="U15" s="406" t="s">
        <v>729</v>
      </c>
      <c r="V15" s="406" t="s">
        <v>729</v>
      </c>
      <c r="W15" s="406" t="s">
        <v>729</v>
      </c>
    </row>
    <row r="16" spans="1:27" x14ac:dyDescent="0.3">
      <c r="A16" s="406" t="s">
        <v>725</v>
      </c>
      <c r="B16" s="407">
        <v>0</v>
      </c>
      <c r="C16" s="407">
        <v>0</v>
      </c>
      <c r="D16" s="407">
        <v>0</v>
      </c>
      <c r="E16" s="407">
        <v>0</v>
      </c>
      <c r="F16" s="407">
        <v>0</v>
      </c>
      <c r="G16" s="407">
        <v>0</v>
      </c>
      <c r="H16" s="407">
        <v>0</v>
      </c>
      <c r="I16" s="407">
        <v>0</v>
      </c>
      <c r="J16" s="407">
        <v>0</v>
      </c>
      <c r="L16" s="409" t="s">
        <v>414</v>
      </c>
      <c r="M16" s="409">
        <v>15</v>
      </c>
      <c r="N16" s="409" t="s">
        <v>733</v>
      </c>
      <c r="O16" s="409" t="s">
        <v>733</v>
      </c>
      <c r="P16" s="409" t="s">
        <v>733</v>
      </c>
      <c r="Q16" s="409" t="s">
        <v>733</v>
      </c>
      <c r="R16" s="409" t="s">
        <v>733</v>
      </c>
      <c r="S16" s="409" t="s">
        <v>733</v>
      </c>
      <c r="T16" s="409" t="s">
        <v>733</v>
      </c>
      <c r="U16" s="409" t="s">
        <v>733</v>
      </c>
      <c r="V16" s="409" t="s">
        <v>733</v>
      </c>
      <c r="W16" s="409" t="s">
        <v>733</v>
      </c>
    </row>
    <row r="17" spans="1:23" ht="39.6" x14ac:dyDescent="0.3">
      <c r="A17" s="406" t="s">
        <v>726</v>
      </c>
      <c r="B17" s="407">
        <v>0.3</v>
      </c>
      <c r="C17" s="407">
        <v>0.3</v>
      </c>
      <c r="D17" s="407">
        <v>0</v>
      </c>
      <c r="E17" s="407">
        <v>0.3</v>
      </c>
      <c r="F17" s="407">
        <v>0.8</v>
      </c>
      <c r="G17" s="407">
        <v>0</v>
      </c>
      <c r="H17" s="407">
        <v>0.3</v>
      </c>
      <c r="I17" s="407">
        <v>0.05</v>
      </c>
      <c r="J17" s="407">
        <v>0</v>
      </c>
      <c r="L17" s="409" t="s">
        <v>415</v>
      </c>
      <c r="M17" s="409">
        <v>16</v>
      </c>
      <c r="N17" s="406" t="s">
        <v>736</v>
      </c>
      <c r="O17" s="406" t="s">
        <v>736</v>
      </c>
      <c r="P17" s="406" t="s">
        <v>736</v>
      </c>
      <c r="Q17" s="406" t="s">
        <v>736</v>
      </c>
      <c r="R17" s="406" t="s">
        <v>736</v>
      </c>
      <c r="S17" s="406" t="s">
        <v>736</v>
      </c>
      <c r="T17" s="406" t="s">
        <v>736</v>
      </c>
      <c r="U17" s="406" t="s">
        <v>736</v>
      </c>
      <c r="V17" s="406" t="s">
        <v>736</v>
      </c>
      <c r="W17" s="406" t="s">
        <v>736</v>
      </c>
    </row>
    <row r="18" spans="1:23" x14ac:dyDescent="0.3">
      <c r="A18" s="406" t="s">
        <v>727</v>
      </c>
      <c r="B18" s="407">
        <v>0.3</v>
      </c>
      <c r="C18" s="407">
        <v>0.3</v>
      </c>
      <c r="D18" s="407">
        <v>0</v>
      </c>
      <c r="E18" s="407">
        <v>0.3</v>
      </c>
      <c r="F18" s="407">
        <v>0.8</v>
      </c>
      <c r="G18" s="407">
        <v>0</v>
      </c>
      <c r="H18" s="407">
        <v>0.3</v>
      </c>
      <c r="I18" s="407">
        <v>0.73</v>
      </c>
      <c r="J18" s="407">
        <v>0</v>
      </c>
    </row>
    <row r="19" spans="1:23" ht="26.4" x14ac:dyDescent="0.3">
      <c r="A19" s="406" t="s">
        <v>728</v>
      </c>
      <c r="B19" s="407">
        <v>0.5</v>
      </c>
      <c r="C19" s="407">
        <v>0.3</v>
      </c>
      <c r="D19" s="407">
        <v>0</v>
      </c>
      <c r="E19" s="407">
        <v>0.5</v>
      </c>
      <c r="F19" s="407">
        <v>0.76</v>
      </c>
      <c r="G19" s="407">
        <v>0</v>
      </c>
      <c r="H19" s="407">
        <v>0.5</v>
      </c>
      <c r="I19" s="407">
        <v>0.49</v>
      </c>
      <c r="J19" s="407">
        <v>0</v>
      </c>
    </row>
    <row r="20" spans="1:23" ht="26.4" x14ac:dyDescent="0.3">
      <c r="A20" s="406" t="s">
        <v>729</v>
      </c>
      <c r="B20" s="407">
        <v>0.25</v>
      </c>
      <c r="C20" s="407">
        <v>0.3</v>
      </c>
      <c r="D20" s="407">
        <v>0</v>
      </c>
      <c r="E20" s="407">
        <v>0.25</v>
      </c>
      <c r="F20" s="407">
        <v>0.61</v>
      </c>
      <c r="G20" s="407">
        <v>0</v>
      </c>
      <c r="H20" s="407">
        <v>0.25</v>
      </c>
      <c r="I20" s="407">
        <v>0</v>
      </c>
      <c r="J20" s="407">
        <v>0</v>
      </c>
    </row>
    <row r="21" spans="1:23" x14ac:dyDescent="0.3">
      <c r="A21" s="406" t="s">
        <v>730</v>
      </c>
      <c r="B21" s="407">
        <v>0.33</v>
      </c>
      <c r="C21" s="407">
        <v>0.3</v>
      </c>
      <c r="D21" s="407">
        <v>0</v>
      </c>
      <c r="E21" s="407">
        <v>0.33</v>
      </c>
      <c r="F21" s="407">
        <v>0.76</v>
      </c>
      <c r="G21" s="407">
        <v>0</v>
      </c>
      <c r="H21" s="407">
        <v>0.33</v>
      </c>
      <c r="I21" s="407">
        <v>0.27</v>
      </c>
      <c r="J21" s="407">
        <v>0</v>
      </c>
    </row>
    <row r="22" spans="1:23" ht="26.4" x14ac:dyDescent="0.3">
      <c r="A22" s="406" t="s">
        <v>731</v>
      </c>
      <c r="B22" s="407">
        <v>0.15</v>
      </c>
      <c r="C22" s="407">
        <v>0.3</v>
      </c>
      <c r="D22" s="407">
        <v>0</v>
      </c>
      <c r="E22" s="407">
        <v>0.15</v>
      </c>
      <c r="F22" s="407">
        <v>0.76</v>
      </c>
      <c r="G22" s="407">
        <v>0</v>
      </c>
      <c r="H22" s="407">
        <v>0.15</v>
      </c>
      <c r="I22" s="407">
        <v>0.15</v>
      </c>
      <c r="J22" s="407">
        <v>0</v>
      </c>
    </row>
    <row r="23" spans="1:23" x14ac:dyDescent="0.3">
      <c r="A23" s="406" t="s">
        <v>732</v>
      </c>
      <c r="B23" s="407">
        <v>0.1</v>
      </c>
      <c r="C23" s="407">
        <v>0.1</v>
      </c>
      <c r="D23" s="407">
        <v>0</v>
      </c>
      <c r="E23" s="407">
        <v>0.35</v>
      </c>
      <c r="F23" s="407">
        <v>0.84</v>
      </c>
      <c r="G23" s="407">
        <v>0</v>
      </c>
      <c r="H23" s="407">
        <v>0.25</v>
      </c>
      <c r="I23" s="407">
        <v>0.15</v>
      </c>
      <c r="J23" s="407">
        <v>0</v>
      </c>
      <c r="L23" s="409"/>
    </row>
    <row r="24" spans="1:23" ht="39.6" x14ac:dyDescent="0.3">
      <c r="A24" s="406" t="s">
        <v>733</v>
      </c>
      <c r="B24" s="407">
        <v>0.3</v>
      </c>
      <c r="C24" s="407">
        <v>0.4</v>
      </c>
      <c r="D24" s="407">
        <v>0</v>
      </c>
      <c r="E24" s="407">
        <v>0.35</v>
      </c>
      <c r="F24" s="407">
        <v>0.84</v>
      </c>
      <c r="G24" s="407">
        <v>0</v>
      </c>
      <c r="H24" s="407">
        <v>0.5</v>
      </c>
      <c r="I24" s="407">
        <v>0.6</v>
      </c>
      <c r="J24" s="407">
        <v>0</v>
      </c>
      <c r="L24" s="409"/>
    </row>
    <row r="25" spans="1:23" ht="26.4" x14ac:dyDescent="0.3">
      <c r="A25" s="406" t="s">
        <v>734</v>
      </c>
      <c r="B25" s="407">
        <v>0.1</v>
      </c>
      <c r="C25" s="407">
        <v>0.1</v>
      </c>
      <c r="D25" s="407">
        <v>0</v>
      </c>
      <c r="E25" s="407">
        <v>0.35</v>
      </c>
      <c r="F25" s="407">
        <v>0.84</v>
      </c>
      <c r="G25" s="407">
        <v>0</v>
      </c>
      <c r="H25" s="407">
        <v>0.25</v>
      </c>
      <c r="I25" s="407">
        <v>0.15</v>
      </c>
      <c r="J25" s="407">
        <v>0</v>
      </c>
      <c r="L25" s="409"/>
    </row>
    <row r="26" spans="1:23" ht="26.4" x14ac:dyDescent="0.3">
      <c r="A26" s="406" t="s">
        <v>735</v>
      </c>
      <c r="B26" s="407">
        <v>0.1</v>
      </c>
      <c r="C26" s="407">
        <v>0.1</v>
      </c>
      <c r="D26" s="407">
        <v>0</v>
      </c>
      <c r="E26" s="407">
        <v>0.35</v>
      </c>
      <c r="F26" s="407">
        <v>0</v>
      </c>
      <c r="G26" s="407">
        <v>0</v>
      </c>
      <c r="H26" s="407">
        <v>0.25</v>
      </c>
      <c r="I26" s="407">
        <v>0</v>
      </c>
      <c r="J26" s="407">
        <v>0</v>
      </c>
      <c r="L26" s="409"/>
    </row>
    <row r="27" spans="1:23" ht="26.4" x14ac:dyDescent="0.3">
      <c r="A27" s="406" t="s">
        <v>736</v>
      </c>
      <c r="B27" s="407">
        <v>0.1</v>
      </c>
      <c r="C27" s="407">
        <v>0.4</v>
      </c>
      <c r="D27" s="407">
        <v>0</v>
      </c>
      <c r="E27" s="407">
        <v>0.35</v>
      </c>
      <c r="F27" s="407">
        <v>0</v>
      </c>
      <c r="G27" s="407">
        <v>0</v>
      </c>
      <c r="H27" s="407">
        <v>0.25</v>
      </c>
      <c r="I27" s="407">
        <v>0</v>
      </c>
      <c r="J27" s="407">
        <v>0</v>
      </c>
      <c r="L27" s="409"/>
    </row>
    <row r="28" spans="1:23" ht="26.4" x14ac:dyDescent="0.3">
      <c r="A28" s="406" t="s">
        <v>737</v>
      </c>
      <c r="B28" s="407">
        <v>0.2</v>
      </c>
      <c r="C28" s="407">
        <v>0.1</v>
      </c>
      <c r="D28" s="407">
        <v>0.05</v>
      </c>
      <c r="E28" s="407">
        <v>0.5</v>
      </c>
      <c r="F28" s="407">
        <v>0.1</v>
      </c>
      <c r="G28" s="407">
        <v>0.05</v>
      </c>
      <c r="H28" s="407">
        <v>0.5</v>
      </c>
      <c r="I28" s="407">
        <v>0.1</v>
      </c>
      <c r="J28" s="407">
        <v>0.05</v>
      </c>
      <c r="L28" s="409"/>
    </row>
    <row r="29" spans="1:23" ht="26.4" x14ac:dyDescent="0.3">
      <c r="A29" s="406" t="s">
        <v>738</v>
      </c>
      <c r="B29" s="407">
        <v>0.2</v>
      </c>
      <c r="C29" s="407">
        <v>0.05</v>
      </c>
      <c r="D29" s="407">
        <v>0</v>
      </c>
      <c r="E29" s="407">
        <v>0.5</v>
      </c>
      <c r="F29" s="407">
        <v>0.05</v>
      </c>
      <c r="G29" s="407">
        <v>0</v>
      </c>
      <c r="H29" s="407">
        <v>0.5</v>
      </c>
      <c r="I29" s="407">
        <v>0.05</v>
      </c>
      <c r="J29" s="407">
        <v>0</v>
      </c>
      <c r="L29" s="409"/>
    </row>
    <row r="30" spans="1:23" ht="26.4" x14ac:dyDescent="0.3">
      <c r="A30" s="406" t="s">
        <v>739</v>
      </c>
      <c r="B30" s="407">
        <v>0.2</v>
      </c>
      <c r="C30" s="407">
        <v>0.1</v>
      </c>
      <c r="D30" s="407">
        <v>0.05</v>
      </c>
      <c r="E30" s="407">
        <v>0.5</v>
      </c>
      <c r="F30" s="407">
        <v>0.1</v>
      </c>
      <c r="G30" s="407">
        <v>0.05</v>
      </c>
      <c r="H30" s="407">
        <v>0.5</v>
      </c>
      <c r="I30" s="407">
        <v>0.1</v>
      </c>
      <c r="J30" s="407">
        <v>0.05</v>
      </c>
      <c r="L30" s="409"/>
    </row>
    <row r="31" spans="1:23" ht="26.4" x14ac:dyDescent="0.3">
      <c r="A31" s="406" t="s">
        <v>740</v>
      </c>
      <c r="B31" s="407">
        <v>0.2</v>
      </c>
      <c r="C31" s="407">
        <v>0.05</v>
      </c>
      <c r="D31" s="407">
        <v>0</v>
      </c>
      <c r="E31" s="407">
        <v>0.5</v>
      </c>
      <c r="F31" s="407">
        <v>0.05</v>
      </c>
      <c r="G31" s="407">
        <v>0</v>
      </c>
      <c r="H31" s="407">
        <v>0.5</v>
      </c>
      <c r="I31" s="407">
        <v>0.05</v>
      </c>
      <c r="J31" s="407">
        <v>0</v>
      </c>
      <c r="L31" s="409"/>
    </row>
    <row r="32" spans="1:23" x14ac:dyDescent="0.3">
      <c r="A32" s="406" t="s">
        <v>741</v>
      </c>
      <c r="B32" s="407">
        <v>0</v>
      </c>
      <c r="C32" s="407">
        <v>0</v>
      </c>
      <c r="D32" s="407">
        <v>0</v>
      </c>
      <c r="E32" s="407">
        <v>0</v>
      </c>
      <c r="F32" s="407">
        <v>0</v>
      </c>
      <c r="G32" s="407">
        <v>0</v>
      </c>
      <c r="H32" s="407">
        <v>0</v>
      </c>
      <c r="I32" s="407">
        <v>0</v>
      </c>
      <c r="J32" s="407">
        <v>0</v>
      </c>
      <c r="L32" s="409"/>
    </row>
    <row r="33" spans="1:12" ht="26.4" x14ac:dyDescent="0.3">
      <c r="A33" s="406" t="s">
        <v>742</v>
      </c>
      <c r="B33" s="407">
        <v>0</v>
      </c>
      <c r="C33" s="407">
        <v>0</v>
      </c>
      <c r="D33" s="407">
        <v>0</v>
      </c>
      <c r="E33" s="407">
        <v>0</v>
      </c>
      <c r="F33" s="407">
        <v>0</v>
      </c>
      <c r="G33" s="407">
        <v>0</v>
      </c>
      <c r="H33" s="407">
        <v>0</v>
      </c>
      <c r="I33" s="407">
        <v>0</v>
      </c>
      <c r="J33" s="407">
        <v>0</v>
      </c>
      <c r="L33" s="409"/>
    </row>
    <row r="34" spans="1:12" x14ac:dyDescent="0.3">
      <c r="A34" s="406" t="s">
        <v>743</v>
      </c>
      <c r="B34" s="407">
        <v>0</v>
      </c>
      <c r="C34" s="407">
        <v>0</v>
      </c>
      <c r="D34" s="407">
        <v>0.05</v>
      </c>
      <c r="E34" s="407">
        <v>0</v>
      </c>
      <c r="F34" s="407">
        <v>0</v>
      </c>
      <c r="G34" s="407">
        <v>0.05</v>
      </c>
      <c r="H34" s="407">
        <v>0</v>
      </c>
      <c r="I34" s="407">
        <v>0</v>
      </c>
      <c r="J34" s="407">
        <v>0.05</v>
      </c>
      <c r="L34" s="409"/>
    </row>
    <row r="35" spans="1:12" x14ac:dyDescent="0.3">
      <c r="L35" s="409"/>
    </row>
    <row r="36" spans="1:12" x14ac:dyDescent="0.3">
      <c r="L36" s="409"/>
    </row>
    <row r="37" spans="1:12" x14ac:dyDescent="0.3">
      <c r="L37" s="409"/>
    </row>
    <row r="38" spans="1:12" x14ac:dyDescent="0.3">
      <c r="L38" s="409"/>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95D785F173D34D8177A16C705E4455" ma:contentTypeVersion="17" ma:contentTypeDescription="Crée un document." ma:contentTypeScope="" ma:versionID="f0526293fc0695add21291156a551b1f">
  <xsd:schema xmlns:xsd="http://www.w3.org/2001/XMLSchema" xmlns:xs="http://www.w3.org/2001/XMLSchema" xmlns:p="http://schemas.microsoft.com/office/2006/metadata/properties" xmlns:ns2="85b722ab-2964-49d5-ba7b-20aa3d9526e5" xmlns:ns3="43ecb9c3-7411-4fb2-bb36-abb31b8a49cc" targetNamespace="http://schemas.microsoft.com/office/2006/metadata/properties" ma:root="true" ma:fieldsID="480b8c7dc5124cbf9e0abb03af1f816b" ns2:_="" ns3:_="">
    <xsd:import namespace="85b722ab-2964-49d5-ba7b-20aa3d9526e5"/>
    <xsd:import namespace="43ecb9c3-7411-4fb2-bb36-abb31b8a49c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b722ab-2964-49d5-ba7b-20aa3d9526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lcf76f155ced4ddcb4097134ff3c332f" ma:index="15" nillable="true" ma:taxonomy="true" ma:internalName="lcf76f155ced4ddcb4097134ff3c332f" ma:taxonomyFieldName="MediaServiceImageTags" ma:displayName="Balises d’images" ma:readOnly="false" ma:fieldId="{5cf76f15-5ced-4ddc-b409-7134ff3c332f}" ma:taxonomyMulti="true" ma:sspId="50ad2e22-52df-4a94-bd4e-2460e5b25e26"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ecb9c3-7411-4fb2-bb36-abb31b8a49cc"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c041140d-c2c8-40eb-aa35-23acb8ac9606}" ma:internalName="TaxCatchAll" ma:showField="CatchAllData" ma:web="43ecb9c3-7411-4fb2-bb36-abb31b8a49cc">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5b722ab-2964-49d5-ba7b-20aa3d9526e5">
      <Terms xmlns="http://schemas.microsoft.com/office/infopath/2007/PartnerControls"/>
    </lcf76f155ced4ddcb4097134ff3c332f>
    <TaxCatchAll xmlns="43ecb9c3-7411-4fb2-bb36-abb31b8a49cc" xsi:nil="true"/>
  </documentManagement>
</p:properties>
</file>

<file path=customXml/itemProps1.xml><?xml version="1.0" encoding="utf-8"?>
<ds:datastoreItem xmlns:ds="http://schemas.openxmlformats.org/officeDocument/2006/customXml" ds:itemID="{61F2B0B8-0222-4901-B56A-0772A890E5FC}"/>
</file>

<file path=customXml/itemProps2.xml><?xml version="1.0" encoding="utf-8"?>
<ds:datastoreItem xmlns:ds="http://schemas.openxmlformats.org/officeDocument/2006/customXml" ds:itemID="{24E59BFA-481A-423F-9359-61BEB10984BD}"/>
</file>

<file path=customXml/itemProps3.xml><?xml version="1.0" encoding="utf-8"?>
<ds:datastoreItem xmlns:ds="http://schemas.openxmlformats.org/officeDocument/2006/customXml" ds:itemID="{16425C35-E38A-4B2D-93D6-06EC0F66863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5</vt:i4>
      </vt:variant>
    </vt:vector>
  </HeadingPairs>
  <TitlesOfParts>
    <vt:vector size="30" baseType="lpstr">
      <vt:lpstr>Front</vt:lpstr>
      <vt:lpstr>Sheet1</vt:lpstr>
      <vt:lpstr>Input - Life Cycle Information</vt:lpstr>
      <vt:lpstr>Input - Circular Flow</vt:lpstr>
      <vt:lpstr>Input - Value</vt:lpstr>
      <vt:lpstr>Input - Sustainable Development</vt:lpstr>
      <vt:lpstr>Output - Results</vt:lpstr>
      <vt:lpstr>CFR - PCI</vt:lpstr>
      <vt:lpstr>PCI Fr values</vt:lpstr>
      <vt:lpstr>Value - Overpackaging</vt:lpstr>
      <vt:lpstr>Value - Food waste</vt:lpstr>
      <vt:lpstr>Value - Material safety</vt:lpstr>
      <vt:lpstr>Sus Dev - Environmental</vt:lpstr>
      <vt:lpstr>Sus Dev - Social</vt:lpstr>
      <vt:lpstr>Sus Dev - Economic</vt:lpstr>
      <vt:lpstr>DGcalcul</vt:lpstr>
      <vt:lpstr>Single-use results</vt:lpstr>
      <vt:lpstr>DGhelper</vt:lpstr>
      <vt:lpstr>DGboard</vt:lpstr>
      <vt:lpstr>DGbase données</vt:lpstr>
      <vt:lpstr>DG CFF calcul</vt:lpstr>
      <vt:lpstr>DGbaseF2V</vt:lpstr>
      <vt:lpstr>DGbasecoll</vt:lpstr>
      <vt:lpstr>DGbasevalo</vt:lpstr>
      <vt:lpstr>DGliste</vt:lpstr>
      <vt:lpstr>Sheet1!_Toc1015179732</vt:lpstr>
      <vt:lpstr>Sheet1!_Toc1712648004</vt:lpstr>
      <vt:lpstr>Sheet1!_Toc301939432</vt:lpstr>
      <vt:lpstr>Process</vt:lpstr>
      <vt:lpstr>separablecomponents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Stuart Walker</dc:creator>
  <cp:lastModifiedBy>Stuart Walker</cp:lastModifiedBy>
  <dcterms:created xsi:type="dcterms:W3CDTF">2025-08-04T08:54:26Z</dcterms:created>
  <dcterms:modified xsi:type="dcterms:W3CDTF">2025-10-08T09:59:39Z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0x0101005295D785F173D34D8177A16C705E4455</vt:lpwstr>
  </property>
</Properties>
</file>